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10" windowWidth="14955" windowHeight="7620" activeTab="0"/>
  </bookViews>
  <sheets>
    <sheet name="Anexa 1" sheetId="1" r:id="rId1"/>
    <sheet name="Anexa 2" sheetId="2" r:id="rId2"/>
    <sheet name="Anexa 3" sheetId="3" r:id="rId3"/>
    <sheet name="Anexa 4 " sheetId="4" r:id="rId4"/>
    <sheet name="Anexa 5" sheetId="5" r:id="rId5"/>
    <sheet name="Anexa 6" sheetId="6" r:id="rId6"/>
    <sheet name="Anexa 7" sheetId="7" r:id="rId7"/>
    <sheet name="Anexa 8 " sheetId="8" r:id="rId8"/>
  </sheets>
  <definedNames>
    <definedName name="_xlnm.Print_Titles" localSheetId="0">'Anexa 1'!$10:$12</definedName>
    <definedName name="_xlnm.Print_Titles" localSheetId="1">'Anexa 2'!$12:$15</definedName>
    <definedName name="_xlnm.Print_Titles" localSheetId="3">'Anexa 4 '!$13:$14</definedName>
  </definedNames>
  <calcPr fullCalcOnLoad="1"/>
</workbook>
</file>

<file path=xl/sharedStrings.xml><?xml version="1.0" encoding="utf-8"?>
<sst xmlns="http://schemas.openxmlformats.org/spreadsheetml/2006/main" count="1298" uniqueCount="638">
  <si>
    <t>MINISTERUL TRANSPORTURILOR</t>
  </si>
  <si>
    <t>Compania Nationala de Cai Ferate  "CFR" S.A.</t>
  </si>
  <si>
    <t>B-dul Dinicu Golescu, nr. 38, Sector 1, Bucureşti</t>
  </si>
  <si>
    <t>CODUL UNIC DE INREGISTRARE: 11054529</t>
  </si>
  <si>
    <t>Detalierea indicatorilor economico-financiari prevăzuţi în bugetul de venituri şi cheltuieli</t>
  </si>
  <si>
    <t>INDICATORI</t>
  </si>
  <si>
    <t>Nr. rd.</t>
  </si>
  <si>
    <t>I.</t>
  </si>
  <si>
    <t>a)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</si>
  <si>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</si>
  <si>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</si>
  <si>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</si>
  <si>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</si>
  <si>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</si>
  <si>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 xml:space="preserve"> - taxă de utilizare a infrastructurii feroviare publice</t>
  </si>
  <si>
    <t xml:space="preserve"> - alte servicii (non-TUI)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</si>
  <si>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</si>
  <si>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</si>
  <si>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</si>
  <si>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</si>
  <si>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</si>
  <si>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</si>
  <si>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</si>
  <si>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 xml:space="preserve">din subvenţii şi transferuri de exploatare aferente cifrei de afaceri nete (Rd.10+Rd.11+Rd.12), din care: </t>
  </si>
  <si>
    <t>c1</t>
  </si>
  <si>
    <t xml:space="preserve"> subvenţii, cf. prevederilor  legale în vigoare</t>
  </si>
  <si>
    <t>c2</t>
  </si>
  <si>
    <t>c21</t>
  </si>
  <si>
    <t xml:space="preserve">   -transferuri pentru reparaţii curente la infrastructura feroviară publică</t>
  </si>
  <si>
    <t>c22</t>
  </si>
  <si>
    <t xml:space="preserve">   - transferuri pentru intretinerea infrastructurii feroviare</t>
  </si>
  <si>
    <t>d)</t>
  </si>
  <si>
    <t xml:space="preserve"> din producţia de imobilizări</t>
  </si>
  <si>
    <t>e)</t>
  </si>
  <si>
    <t>venituri aferente costului producţiei în curs de execuţie</t>
  </si>
  <si>
    <t>f)</t>
  </si>
  <si>
    <t>f1)</t>
  </si>
  <si>
    <t>din amenzi şi penalităţi</t>
  </si>
  <si>
    <t>f2)</t>
  </si>
  <si>
    <t>din vânzarea activelor şi alte operaţii de capital (Rd.18+Rd.19), din care:</t>
  </si>
  <si>
    <t xml:space="preserve"> -active corporale</t>
  </si>
  <si>
    <t xml:space="preserve"> -active necorporale</t>
  </si>
  <si>
    <t>f3)</t>
  </si>
  <si>
    <t>din subvenţii pentru investiţii</t>
  </si>
  <si>
    <t>f4)</t>
  </si>
  <si>
    <t>din valorificarea certificatelor CO2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</si>
  <si>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</si>
  <si>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</si>
  <si>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</si>
  <si>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</si>
  <si>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</si>
  <si>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</si>
  <si>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</si>
  <si>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</si>
  <si>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Reparatii curente Buget de stat</t>
  </si>
  <si>
    <t>Intretinerea infrastructurii fer. Buget de stat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</si>
  <si>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</si>
  <si>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</si>
  <si>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</si>
  <si>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</si>
  <si>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</si>
  <si>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</si>
  <si>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</si>
  <si>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</si>
  <si>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</si>
  <si>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</si>
  <si>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</si>
  <si>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reparaţiile,din care: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</si>
  <si>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</si>
  <si>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</si>
  <si>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</si>
  <si>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</si>
  <si>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</si>
  <si>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</si>
  <si>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</si>
  <si>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</si>
  <si>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c1)</t>
  </si>
  <si>
    <t>cheltuieli de protocol, din care:</t>
  </si>
  <si>
    <t xml:space="preserve"> - tichete cadou potrivit Legii nr.193/2006, cu modificările şi completările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</si>
  <si>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</si>
  <si>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</si>
  <si>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şi completările ulterioare</t>
  </si>
  <si>
    <t xml:space="preserve"> - tichete cadou ptr. campanii de marketing, studiul pieţei, promovarea pe pieţe existente sau noi, potrivit Legii nr.193/2006, cu  modif.şi completările ulterioare</t>
  </si>
  <si>
    <t xml:space="preserve"> - ch.de promovare a produselor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</si>
  <si>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</si>
  <si>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</si>
  <si>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</si>
  <si>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</si>
  <si>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</si>
  <si>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</si>
  <si>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</si>
  <si>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</si>
  <si>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</si>
  <si>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t>cheltuieli de deplasare, detaşare, transfer, din care: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</si>
  <si>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</si>
  <si>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</si>
  <si>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</si>
  <si>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</si>
  <si>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</si>
  <si>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</si>
  <si>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</si>
  <si>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</si>
  <si>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</si>
  <si>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</si>
  <si>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</si>
  <si>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</si>
  <si>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</si>
  <si>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</si>
  <si>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</si>
  <si>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 xml:space="preserve">      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</si>
  <si>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</si>
  <si>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</si>
  <si>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</si>
  <si>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OUG 109/2011</t>
  </si>
  <si>
    <t>i7)</t>
  </si>
  <si>
    <t>cheltuieli cu anunţurile privind licitaţiile şi alte anunţuri</t>
  </si>
  <si>
    <t>j)</t>
  </si>
  <si>
    <t>alte cheltuieli</t>
  </si>
  <si>
    <t>ch. cu taxa pt.activitatea de exploatare  a resurselor minerale</t>
  </si>
  <si>
    <t>ch. cu redevenţa pentru  concesionarea  bunurilor publice şi resursele minerale</t>
  </si>
  <si>
    <t>ch. cu taxa de licenţă</t>
  </si>
  <si>
    <t xml:space="preserve"> ch. cu taxa de autorizare</t>
  </si>
  <si>
    <t>ch. cu taxa de mediu</t>
  </si>
  <si>
    <t>C1</t>
  </si>
  <si>
    <t>Cheltuieli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</si>
  <si>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</si>
  <si>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</si>
  <si>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</si>
  <si>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</si>
  <si>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 xml:space="preserve">  Bonusuri (Rd.93+Rd.96+Rd.97+Rd.98+ Rd.99), din care: </t>
  </si>
  <si>
    <t>a) cheltuieli sociale prevăzute la art. 21 din Legea nr. 571/2003 privind Codul fiscal, cu modificările şi completările ulterioare, din care:</t>
  </si>
  <si>
    <t xml:space="preserve"> - tichete de creşă, cf. Legii nr. 193/2006, cu modificările şi completările ulterioare;</t>
  </si>
  <si>
    <t xml:space="preserve"> - tichete cadou pentru cheltuieli sociale potrivit Legii nr. 193/2006, cu modificările şi completările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</si>
  <si>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</si>
  <si>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</si>
  <si>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</si>
  <si>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</si>
  <si>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</si>
  <si>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</si>
  <si>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</si>
  <si>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</si>
  <si>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</si>
  <si>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a) pentru directori/directorat</t>
  </si>
  <si>
    <t>d) pentru alte comisii şi comitete constituite potrivit legii</t>
  </si>
  <si>
    <t>C5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</si>
  <si>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</si>
  <si>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</si>
  <si>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</si>
  <si>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</si>
  <si>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</si>
  <si>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</si>
  <si>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</si>
  <si>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</si>
  <si>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</si>
  <si>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</si>
  <si>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</si>
  <si>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</si>
  <si>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</si>
  <si>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</si>
  <si>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</si>
  <si>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</si>
  <si>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</si>
  <si>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</si>
  <si>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</si>
  <si>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alte cheltuieli financiare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</si>
  <si>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</si>
  <si>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</si>
  <si>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</si>
  <si>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</si>
  <si>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</si>
  <si>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</si>
  <si>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</si>
  <si>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Aprobat</t>
  </si>
  <si>
    <t>din care:</t>
  </si>
  <si>
    <t>TUI</t>
  </si>
  <si>
    <t>CHIRII</t>
  </si>
  <si>
    <t>C0</t>
  </si>
  <si>
    <t>Plăţi restante</t>
  </si>
  <si>
    <t>Preliminat/
Realizat</t>
  </si>
  <si>
    <t>4a</t>
  </si>
  <si>
    <t>Anexa nr.2</t>
  </si>
  <si>
    <t>VENITURI TOTALE (Rd.2+Rd.22+Rd.28)</t>
  </si>
  <si>
    <t>5a</t>
  </si>
  <si>
    <t>5b</t>
  </si>
  <si>
    <t>11a</t>
  </si>
  <si>
    <t>11b</t>
  </si>
  <si>
    <t>transferuri, cf. prevederilor legale  în  vigoare,din care:</t>
  </si>
  <si>
    <t>Venituri financiare (Rd.23+Rd.24+Rd.25+Rd.26+Rd.27), din care:</t>
  </si>
  <si>
    <t>alte venituri din exploatare (Rd.15+Rd.16+Rd.19+Rd.20+Rd.21), din care:</t>
  </si>
  <si>
    <t>Venituri din exploatare (Rd.3+Rd.8+Rd.9+Rd.12+Rd.13+Rd.14), din care:</t>
  </si>
  <si>
    <t>30a</t>
  </si>
  <si>
    <t>30b</t>
  </si>
  <si>
    <t>CHELTUIELI TOTALE  (Rd.30+Rd.136+Rd.144)</t>
  </si>
  <si>
    <t xml:space="preserve">Cheltuieli de exploatare (Rd.31+Rd.79+Rd.86+Rd.120), din care: </t>
  </si>
  <si>
    <t>32a</t>
  </si>
  <si>
    <t>32b</t>
  </si>
  <si>
    <t>Cheltuieli privind stocurile (Rd.33+Rd.34+Rd.37+Rd.38+Rd.39), din care:</t>
  </si>
  <si>
    <t>41a</t>
  </si>
  <si>
    <t>41b</t>
  </si>
  <si>
    <t xml:space="preserve">A. Cheltuieli cu bunuri şi servicii (Rd.32+Rd.40+Rd.46), din care: 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</si>
  <si>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</si>
  <si>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</si>
  <si>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(Rd.47+Rd.48+Rd.50+Rd.57+Rd.62+Rd.63+Rd.67+Rd.68+Rd.69+Rd.78), din care: 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</si>
  <si>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</si>
  <si>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</si>
  <si>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</si>
  <si>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>alte cheltuieli cu serviciile executate de terţi (Rd.70+Rd.71+Rd.72+Rd.73+Rd.75+Rd.76+Rd.77), din care:</t>
  </si>
  <si>
    <t xml:space="preserve">B  Cheltuieli cu impozite, taxe şi vărsăminte asimilate (Rd.80+Rd.81+Rd.82+Rd.83+ Rd.85+Rd.85), din care: </t>
  </si>
  <si>
    <t>C. Cheltuieli cu personalul (Rd.87+Rd.100+Rd.104+Rd.113), din care:</t>
  </si>
  <si>
    <t>Cheltuieli de natura salariala (Rd.88+Rd.92)</t>
  </si>
  <si>
    <t>a) ch. cu plăţile compensatorii aferente disponibilizărilor de personal</t>
  </si>
  <si>
    <t>Cheltuieli aferente contractului de mandat si a altor organe de conducere si control, comisii si comitete (Rd.105+Rd.108+Rd.111+ Rd.112), din care:</t>
  </si>
  <si>
    <t xml:space="preserve">  -componenta fixa</t>
  </si>
  <si>
    <t xml:space="preserve">  -componenta variabila</t>
  </si>
  <si>
    <t>b) pentru consiliul de administraţie/consiliul de supraveghere şi secretari, din care:</t>
  </si>
  <si>
    <t>c) pentru AGA si cenzori</t>
  </si>
  <si>
    <t xml:space="preserve">Cheltuieli cu asigurările şi protecţia socială, fondurile speciale şi alte obligaţii legale(Rd.114+Rd.115+Rd.116+Rd.117+    Rd.118+Rd.119), din care: 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</si>
  <si>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</si>
  <si>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</si>
  <si>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</si>
  <si>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</si>
  <si>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</si>
  <si>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</si>
  <si>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</si>
  <si>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</si>
  <si>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</si>
  <si>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</si>
  <si>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</si>
  <si>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</si>
  <si>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REZULTATUL BRUT (profit/pierdere)       (Rd.1-Rd.29)</t>
  </si>
  <si>
    <t>venituri neimpozabile</t>
  </si>
  <si>
    <t>cheltuieli nedeductibile fiscal</t>
  </si>
  <si>
    <t>Cheltuieli de natură salarială (Rd.87)</t>
  </si>
  <si>
    <t xml:space="preserve">Nr.mediu de salariaţi </t>
  </si>
  <si>
    <t>Castigul mediu lunar pe salariat deterninat pe baza cheltuielilor cu salariile              (Rd.151/Rd.153)/12*1000</t>
  </si>
  <si>
    <t xml:space="preserve"> b)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</si>
  <si>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</si>
  <si>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</si>
  <si>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</si>
  <si>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</si>
  <si>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</si>
  <si>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</si>
  <si>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</si>
  <si>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</si>
  <si>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</si>
  <si>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</si>
  <si>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</si>
  <si>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</si>
  <si>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cheltuieli privind ajustările şi provizioanele, din care:</t>
  </si>
  <si>
    <t>Anexa nr.1</t>
  </si>
  <si>
    <t>mii lei</t>
  </si>
  <si>
    <t>%</t>
  </si>
  <si>
    <t>Estimari 2016</t>
  </si>
  <si>
    <t>10=8/6</t>
  </si>
  <si>
    <t>11=9/8</t>
  </si>
  <si>
    <t>VENITURI TOTALE  (Rd.1=Rd.2+Rd.5+Rd.6)</t>
  </si>
  <si>
    <t>Venituri totale din exploatare, din care:</t>
  </si>
  <si>
    <t>subventii, cf. prevederilor legale in vigoare</t>
  </si>
  <si>
    <t>transferuri, cf. prevederilor legale in vigoare</t>
  </si>
  <si>
    <t>Venituri financiare</t>
  </si>
  <si>
    <t>CHELTUIELI TOTALE  (Rd.7=Rd.8+Rd.20+Rd.21)</t>
  </si>
  <si>
    <t>Cheltuieli de exploatare, din care:</t>
  </si>
  <si>
    <t>A.</t>
  </si>
  <si>
    <t xml:space="preserve"> cheltuieli cu bunuri si servicii</t>
  </si>
  <si>
    <t>B.</t>
  </si>
  <si>
    <t>cheltuieli cu impozite, taxe si varsaminte asimilate</t>
  </si>
  <si>
    <t>C.</t>
  </si>
  <si>
    <t>cheltuieli cu personalul, din care:</t>
  </si>
  <si>
    <t>Cheltuieli de natura salariala ( Rd 13+Rd.14)</t>
  </si>
  <si>
    <t xml:space="preserve">ch. cu salariile </t>
  </si>
  <si>
    <t>bonusuri</t>
  </si>
  <si>
    <t>alte cheltuieli  cu personalul, din care:</t>
  </si>
  <si>
    <t xml:space="preserve"> cheltuieli cu plati compensatorii aferente disponibilizarilor de personal</t>
  </si>
  <si>
    <t>cheltuieli aferente contractului de mandat si a altor organe de conducere si control, comisii si comitete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</si>
  <si>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</si>
  <si>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</si>
  <si>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</si>
  <si>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</si>
  <si>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</si>
  <si>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</si>
  <si>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</si>
  <si>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</si>
  <si>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</si>
  <si>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</si>
  <si>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</si>
  <si>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25,26,27,28,29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</si>
  <si>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</si>
  <si>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</si>
  <si>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</t>
  </si>
  <si>
    <t xml:space="preserve">   -  dividende cuvenite bugetului local</t>
  </si>
  <si>
    <t>33a</t>
  </si>
  <si>
    <t xml:space="preserve">   -  dividende cuvenite altor actionari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</si>
  <si>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</si>
  <si>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</si>
  <si>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</si>
  <si>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</si>
  <si>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</si>
  <si>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</si>
  <si>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</si>
  <si>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</si>
  <si>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</si>
  <si>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</si>
  <si>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</si>
  <si>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</si>
  <si>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alocatii bugetare aferente platii angajamentelor din anii anteriori</t>
  </si>
  <si>
    <t>IX</t>
  </si>
  <si>
    <t>CHELTUIELI  PENTRU INVESTIŢII</t>
  </si>
  <si>
    <t>X</t>
  </si>
  <si>
    <t>Nr.mediu de salariaţi total</t>
  </si>
  <si>
    <t>Castigul mediu lunar pe salariat deterninat pe baza cheltuielilor cu salariile (lei/persoană)  (Rd.13/Rd.49)/12*1000</t>
  </si>
  <si>
    <t>Productivitatea muncii în unităţi fizice pe total personal mediu (cantitate produse finite/ persoană)</t>
  </si>
  <si>
    <t>Cheltuieli totale la 1000 lei venituri totale        (Rd.7/Rd.1)x1000</t>
  </si>
  <si>
    <t>Creanţe restante</t>
  </si>
  <si>
    <t>Director General</t>
  </si>
  <si>
    <t>Dir. Gen. Adj. Economic</t>
  </si>
  <si>
    <t>Corneliu CRETU</t>
  </si>
  <si>
    <t>Director Financiar</t>
  </si>
  <si>
    <t>Anexa nr.3</t>
  </si>
  <si>
    <t>Gradul de realizare al veniturilor totale</t>
  </si>
  <si>
    <t>Nr.crt.</t>
  </si>
  <si>
    <t xml:space="preserve">INDICATORI </t>
  </si>
  <si>
    <t>4=3/2</t>
  </si>
  <si>
    <t>Realizat
Preliminat</t>
  </si>
  <si>
    <t>7=6/5</t>
  </si>
  <si>
    <t>Venituri totale (rd.1+rd.2+rd.3), din care:</t>
  </si>
  <si>
    <t>Anexa nr.4</t>
  </si>
  <si>
    <t>Repartizarea pe trimestre a indicatorilor economico-financiari</t>
  </si>
  <si>
    <t>Trim. I</t>
  </si>
  <si>
    <t>Trim. II</t>
  </si>
  <si>
    <t>Trim. IV</t>
  </si>
  <si>
    <t>I</t>
  </si>
  <si>
    <t>cal</t>
  </si>
  <si>
    <t>mf</t>
  </si>
  <si>
    <t>trim.I</t>
  </si>
  <si>
    <t>trim.II</t>
  </si>
  <si>
    <t>trim.III</t>
  </si>
  <si>
    <t>trim.IV</t>
  </si>
  <si>
    <t>CA, AGA</t>
  </si>
  <si>
    <t>PERMISE</t>
  </si>
  <si>
    <t>Nr. efectiv de personal la sfarsitul fiecarui trimestru</t>
  </si>
  <si>
    <t>Anexa nr.5</t>
  </si>
  <si>
    <t>Programul de investiţii, dotări şi sursele de finanţare</t>
  </si>
  <si>
    <t>Data finalizării investiţiei</t>
  </si>
  <si>
    <t>Valoare</t>
  </si>
  <si>
    <t>Realizat preliminat</t>
  </si>
  <si>
    <t>Surse proprii, din care:</t>
  </si>
  <si>
    <t xml:space="preserve">  a1) - amortizare</t>
  </si>
  <si>
    <t xml:space="preserve">  a11) - amortizare investitii surse proprii</t>
  </si>
  <si>
    <t xml:space="preserve">  a2) - amortizare credite externe</t>
  </si>
  <si>
    <t xml:space="preserve">  b) - profit</t>
  </si>
  <si>
    <t>Alocaţii de la buget INVESTITII</t>
  </si>
  <si>
    <t>Credite bancare, din care:</t>
  </si>
  <si>
    <t xml:space="preserve">  a) - interne</t>
  </si>
  <si>
    <t xml:space="preserve">  b) - externe</t>
  </si>
  <si>
    <t xml:space="preserve">Alte surse BUGET DE STAT, din care: </t>
  </si>
  <si>
    <t>alocaţii de la buget pentru rambursări credite externe</t>
  </si>
  <si>
    <t>alocaţii de la buget pentru plăţi dobânzi aferente creditelor externe</t>
  </si>
  <si>
    <t xml:space="preserve">Cheltuieli neeligibile ISPA </t>
  </si>
  <si>
    <t>Proiecte cu finanţare din fonduri externe nerambursabile, din care:</t>
  </si>
  <si>
    <t xml:space="preserve">         - programe din FEDR</t>
  </si>
  <si>
    <t xml:space="preserve">         - programe din FC</t>
  </si>
  <si>
    <t xml:space="preserve">         - alte facilitati si instrumente postaderare</t>
  </si>
  <si>
    <t>Sume alocate ptr. intocmirea documentatiilor cadastrale si a publicitatii imobiliare pentru bunurile imobiliare aflate in concesiunea companiei care administreaza infrastructura feroviara</t>
  </si>
  <si>
    <t>Cheltuieli aferente programelor cu finanţare rambursabilă</t>
  </si>
  <si>
    <t>CHELTUIELI PENTRU INVESTIŢII, din care:</t>
  </si>
  <si>
    <t>Investiţii în curs, din care:</t>
  </si>
  <si>
    <t>a) pentru bunurile proprietatea privata a operatorului economic:</t>
  </si>
  <si>
    <t>b) pentru bunurile de natura domeniului public al statului sau al unităţii administrativ teritoriale:</t>
  </si>
  <si>
    <t>b1</t>
  </si>
  <si>
    <t>INVESTITII</t>
  </si>
  <si>
    <t>Electrificarea liniei de cale ferată Doaga-Tecuci-Barboşi, inclusiv Dispecer feroviar Galaţi.Trim.III 1989.DCS nr.87/1989. HG nr.1483/2003</t>
  </si>
  <si>
    <t>Modernizarea staţiei CF Focşani la standarde europene.  Acord MFP 507/2002. (dupa rezolvarea litigiului aflat pe rol)</t>
  </si>
  <si>
    <t>Linie  nouă de cale ferată Vâlcele – Râmnicu Vâlcea. DCS 544/1978; HG 1003/1990, HG 104/2008</t>
  </si>
  <si>
    <t>2017-anii ulteriori</t>
  </si>
  <si>
    <t>Reabilitarea liniei de cale ferata Bucuresti-Constanta (JBIC ROM - P3/2001)</t>
  </si>
  <si>
    <t>Reconstrucţie pod Gura Lotrului km. 325+704, linia Piatra Olt - Podul Olt (pentru dezafectarea podului vechi)</t>
  </si>
  <si>
    <t xml:space="preserve">2016-anii ulteriori </t>
  </si>
  <si>
    <t>Cheltuieli pentru elaborarea SPF si SF</t>
  </si>
  <si>
    <t>2012-2016</t>
  </si>
  <si>
    <t>b2</t>
  </si>
  <si>
    <t>ALTE SURSE</t>
  </si>
  <si>
    <t>c)pentru bunurile de natura domeniului privat al statului sau al unitatii administrativ teritoriale</t>
  </si>
  <si>
    <t>d) pentru bunurile luate în concesiune, închiriate sau în locaţie de gestiune, exclusiv cele din domeniul public sau privat al statului sau al unităţii administrativ teritoriale:</t>
  </si>
  <si>
    <t xml:space="preserve">   - (denumire obiectiv)</t>
  </si>
  <si>
    <t xml:space="preserve">   -</t>
  </si>
  <si>
    <t>Investiţii noi, din care:</t>
  </si>
  <si>
    <t xml:space="preserve">   - S.CREÎR Bucureşti</t>
  </si>
  <si>
    <t>2013-2016</t>
  </si>
  <si>
    <t xml:space="preserve">   - S.CREÎR Craiova</t>
  </si>
  <si>
    <t xml:space="preserve">   - S.CREÎR Timişoara </t>
  </si>
  <si>
    <t xml:space="preserve">   - S.CREÎR Cluj</t>
  </si>
  <si>
    <t xml:space="preserve">   - S.CREÎR Braşov </t>
  </si>
  <si>
    <t xml:space="preserve">   - S.CREÎR Iaşi</t>
  </si>
  <si>
    <t xml:space="preserve">   - S.CREÎR Galaţi </t>
  </si>
  <si>
    <t xml:space="preserve">   - S.CREÎR Constanţa </t>
  </si>
  <si>
    <t xml:space="preserve">   - CNCF CFR-SA </t>
  </si>
  <si>
    <t>a) pentru bunurile proprietate privata a operatorului economic</t>
  </si>
  <si>
    <t>c) pentru bunurile de natura domeniului privat al statului sau al unităţii administrativ teritoriale:</t>
  </si>
  <si>
    <t>Investiţii efectuate la imobilizările corporale existente (modernizări, reparatii capitale), din care:</t>
  </si>
  <si>
    <t>Reparatii capitale linii CF</t>
  </si>
  <si>
    <t>Reparatii capitale poduri/podete</t>
  </si>
  <si>
    <t>Reparatii capitale tuneluri</t>
  </si>
  <si>
    <t>Reparatii capitale terasamente</t>
  </si>
  <si>
    <t>Reparatii capitale instalatii feroviare</t>
  </si>
  <si>
    <t>Proiectare lucrari (expertize, documentatii de avizare a lucrarilor de interventii, proiecte tehnice)</t>
  </si>
  <si>
    <t>Alte reparatii capitale constructii-montaj</t>
  </si>
  <si>
    <t>Dotări (alte achiziţii de imobilizări corporale) , din care:</t>
  </si>
  <si>
    <t>Dotări (alte achiziţii de imobilizări corporale) buget de stat</t>
  </si>
  <si>
    <t>Dotări (alte achiziţii de imobilizări corporale) surse proprii</t>
  </si>
  <si>
    <t>Rambursări de rate aferente creditelor pentru investiţii, din care:</t>
  </si>
  <si>
    <t xml:space="preserve">   a) - interne</t>
  </si>
  <si>
    <t xml:space="preserve">   b)- externe</t>
  </si>
  <si>
    <t xml:space="preserve"> -buget de stat</t>
  </si>
  <si>
    <t xml:space="preserve"> - surse proprii</t>
  </si>
  <si>
    <t>Anexa nr. 6</t>
  </si>
  <si>
    <t>Programul de reducere a platilor restante cu prezentarea surselor</t>
  </si>
  <si>
    <t>Mii lei</t>
  </si>
  <si>
    <t>Nr. Crt.</t>
  </si>
  <si>
    <t>Arierate</t>
  </si>
  <si>
    <t>Reduceri</t>
  </si>
  <si>
    <t>Total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</si>
  <si>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</si>
  <si>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</si>
  <si>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</si>
  <si>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</si>
  <si>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</si>
  <si>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</si>
  <si>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</si>
  <si>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</si>
  <si>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</si>
  <si>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</si>
  <si>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</si>
  <si>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</si>
  <si>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</si>
  <si>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Creante restante 31.12.2013</t>
  </si>
  <si>
    <t>Venituri prod vanduta</t>
  </si>
  <si>
    <t>TVA aferent</t>
  </si>
  <si>
    <t>Facturi</t>
  </si>
  <si>
    <t xml:space="preserve">Situaţia datoriilor rezultate din împrumuturile contractate </t>
  </si>
  <si>
    <t>Nr.crt</t>
  </si>
  <si>
    <t>Valoarea creditului conform contract</t>
  </si>
  <si>
    <t>Perioada de rambursare în ani</t>
  </si>
  <si>
    <t>TOTAL din care:</t>
  </si>
  <si>
    <t>rate</t>
  </si>
  <si>
    <t xml:space="preserve">dobânzi </t>
  </si>
  <si>
    <t>diferenţe de curs nefavorabile</t>
  </si>
  <si>
    <t>comisioane</t>
  </si>
  <si>
    <t>a1- EURO</t>
  </si>
  <si>
    <t>Imprumut BERD 44271/2012, Proiect de restructurre financiara a CFR</t>
  </si>
  <si>
    <t>4 ani</t>
  </si>
  <si>
    <t>a1- USD</t>
  </si>
  <si>
    <t xml:space="preserve">Împrumut BIRD nr.4757/2005, Proiect restructurare transporturi </t>
  </si>
  <si>
    <t>12 ani</t>
  </si>
  <si>
    <t>Împrumut BIRD nr.3976/1996, Proiect reabilitare cale ferată</t>
  </si>
  <si>
    <t>16 ani</t>
  </si>
  <si>
    <t>a1- JPY</t>
  </si>
  <si>
    <t>Împrumut JBIC ROM P3, Proiect de reabilitare a caii ferate Bucuresti-Constanta</t>
  </si>
  <si>
    <t>32 ani</t>
  </si>
  <si>
    <t>Împrumut BERD 12936/2003, Modernizare 5 statii</t>
  </si>
  <si>
    <t>TOTAL GENERAL A + B</t>
  </si>
  <si>
    <t>Anexa nr.8</t>
  </si>
  <si>
    <t>Măsuri de îmbunătăţire a rezultatului brut şi reducere a platilor restante</t>
  </si>
  <si>
    <t>Măsuri</t>
  </si>
  <si>
    <t>Termen de realizare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</si>
  <si>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</si>
  <si>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</si>
  <si>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</si>
  <si>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</si>
  <si>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</si>
  <si>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>Plati 
restante</t>
  </si>
  <si>
    <t>Rezultat brut</t>
  </si>
  <si>
    <t>Plati restante</t>
  </si>
  <si>
    <t>Pct. I</t>
  </si>
  <si>
    <t>TOTAL Pct. I</t>
  </si>
  <si>
    <t>Pct. II</t>
  </si>
  <si>
    <t>Cauze care diminuează efectul măsurilor prevăzute la Pct. I</t>
  </si>
  <si>
    <t>Cresterea cheltuielilor din transferuri bugetare</t>
  </si>
  <si>
    <t>Diminuarea altor venituri din exploatare</t>
  </si>
  <si>
    <t>Cresterea cheltuielilor cu energia si apa</t>
  </si>
  <si>
    <t>Cresterea cheltuielilor maj si penalitati</t>
  </si>
  <si>
    <t>TOTAL Pct. II</t>
  </si>
  <si>
    <t>Pct. III</t>
  </si>
  <si>
    <t>TOTAL GENERAL Pct. I + Pct. II</t>
  </si>
  <si>
    <t>CREANTE</t>
  </si>
  <si>
    <t>Cresterea cheltuielilor cu personalul</t>
  </si>
  <si>
    <t>Sef Serviciu BVC</t>
  </si>
  <si>
    <t>Trim III</t>
  </si>
  <si>
    <t>Trim. III</t>
  </si>
  <si>
    <t>Productivitatea muncii în unităţi valorice pe total personal mediu (mii lei/persoană) (Rd.2/Rd.49)</t>
  </si>
  <si>
    <t>Productivitatea muncii în unităţi valorice pe total personal mediu ( mii lei/persoană) (Rd.2/Rd.153)</t>
  </si>
  <si>
    <t>Non TUI</t>
  </si>
  <si>
    <t>Alexandru Macarie MOLDOVAN</t>
  </si>
  <si>
    <t>Sorina BAICU</t>
  </si>
  <si>
    <t>151 a</t>
  </si>
  <si>
    <t xml:space="preserve">  - Cheltuieli cu salariile aferente personalului angajat pe perioada determinata</t>
  </si>
  <si>
    <t xml:space="preserve">  - Cheltuieli cu salariile aferente majorarii salariului de baza minim brut pe tara garantat in plata</t>
  </si>
  <si>
    <t>151 b</t>
  </si>
  <si>
    <t>Cheltuieli  cu salariile (Rd.88), din care:</t>
  </si>
  <si>
    <t>153 a</t>
  </si>
  <si>
    <t>Nr. de personal efectiv angajat pe perioada determinata</t>
  </si>
  <si>
    <t>Nr. de personal mediu angajat pe perioada determinata</t>
  </si>
  <si>
    <t>153 b</t>
  </si>
  <si>
    <t>Câştigul mediu  lunar pe salariat (lei/persoană) determinat pe baza cheltuielilor de natură salarială [(Rd.150-Rd.93*-Rd.98)/Rd153]/12*1000</t>
  </si>
  <si>
    <t>Castigul mediu  lunar pe salariat (lei/persoană) determinat pe baza cheltuielilor de natură salarială *</t>
  </si>
  <si>
    <t>cheltuieli cu alte taxe şi impozite, din care:</t>
  </si>
  <si>
    <t>Venituri din exploatare</t>
  </si>
  <si>
    <t>Prevederi an 2014</t>
  </si>
  <si>
    <t>Liliana MARIN</t>
  </si>
  <si>
    <t>Redact: Irina CUTER</t>
  </si>
  <si>
    <t>An 2017</t>
  </si>
  <si>
    <t>Programe ISPA - cheltuieli neeligibile</t>
  </si>
  <si>
    <t>Reduceri Total            an 2017</t>
  </si>
  <si>
    <t>Sold final an 2017</t>
  </si>
  <si>
    <t>an 2017</t>
  </si>
  <si>
    <t>a2- lei</t>
  </si>
  <si>
    <t>Note:</t>
  </si>
  <si>
    <t>Anexa nr. 7</t>
  </si>
  <si>
    <t>7=6/5*100</t>
  </si>
  <si>
    <t>Estimari 2017</t>
  </si>
  <si>
    <t>85 a</t>
  </si>
  <si>
    <t>Prog ISPA</t>
  </si>
  <si>
    <t>ISPA</t>
  </si>
  <si>
    <t>Dif. Amortizare</t>
  </si>
  <si>
    <t>3=1-2</t>
  </si>
  <si>
    <t>6=3-4-5</t>
  </si>
  <si>
    <t>Incasare creante de la operatori feroviari</t>
  </si>
  <si>
    <t>Cresterea  cheltuielilor privind serv. executate de terti</t>
  </si>
  <si>
    <t>Cresterea cheltuielilor cu impozite, taxe si varsaminte asimilate</t>
  </si>
  <si>
    <t>Cresterea cheltuielilor cu amortizarea</t>
  </si>
  <si>
    <t>Cresterea veniturilor din transferuri bugetare ( reparatii curente/intretinere)</t>
  </si>
  <si>
    <t>Cresterea cheltuielilor cu transport de bunuri si persoane</t>
  </si>
  <si>
    <t>Cresterea cheltuielilor cu deplasare, detasare si transferuri</t>
  </si>
  <si>
    <t>Cresterea cheltuielilor cu asig. si paza</t>
  </si>
  <si>
    <t xml:space="preserve">Aprobat </t>
  </si>
  <si>
    <t>Nr.mediu de personal pe trimestru</t>
  </si>
  <si>
    <t>tva alocatii bugetare (reparatii curente la infr. feroviara publica)</t>
  </si>
  <si>
    <t>tva alocatii bugetare (intretinerea infr. feroviare publice)</t>
  </si>
  <si>
    <t>85 b</t>
  </si>
  <si>
    <t>op privati</t>
  </si>
  <si>
    <t>reg</t>
  </si>
  <si>
    <t>cf Hotararii CA</t>
  </si>
  <si>
    <t>Cresterea cheltuielilor cu reevaluarea imobilizarilor corporale</t>
  </si>
  <si>
    <t>Cresterea cheltuielilor postale si telecomunicatii, servicii bancare</t>
  </si>
  <si>
    <t>Dir. Gen. Adj. Exploatare</t>
  </si>
  <si>
    <t>Viorel SCURTU</t>
  </si>
  <si>
    <t>Dir. Instalatii</t>
  </si>
  <si>
    <t>Dir. Linii</t>
  </si>
  <si>
    <t>Ioan POP</t>
  </si>
  <si>
    <t>Constantin MANEA</t>
  </si>
  <si>
    <t>Dir. Trafic</t>
  </si>
  <si>
    <t>Marian COTOFANA</t>
  </si>
  <si>
    <t>* veniturile din exploatare au fost diminuate cu valoarea transferurilor primite de la bugetul de stat</t>
  </si>
  <si>
    <t>Alexandru Macarie Moldovan</t>
  </si>
  <si>
    <t>Diminuarea veniturilor din non -TUI</t>
  </si>
  <si>
    <t>Cresterea veniturilor financiare</t>
  </si>
  <si>
    <t>Cresterea cheltuielilor cu pregatirea profesionala</t>
  </si>
  <si>
    <t>Diminuarea cheltuielilor cu provizioanele</t>
  </si>
  <si>
    <t>Cresterea cheltuielilor cu obiecte inventar</t>
  </si>
  <si>
    <t>Cresterea cheltuielilor cu materiale consumabile</t>
  </si>
  <si>
    <t>Cresterea cheltuielilor financiare</t>
  </si>
  <si>
    <t>BUGETUL  DE  VENITURI  ŞI  CHELTUIELI PE ANUL 2016</t>
  </si>
  <si>
    <t>Propuneri       an curent  
2016</t>
  </si>
  <si>
    <t>Marius Marian CHIPER</t>
  </si>
  <si>
    <t>Dir. Gen. Adj. Investitii</t>
  </si>
  <si>
    <t>Dir. Management Financiar</t>
  </si>
  <si>
    <t>Dir.  Pregatire, Derulare, Investitii</t>
  </si>
  <si>
    <t>Luca IRIMES</t>
  </si>
  <si>
    <t>REZULTATUL BRUT (profit/pierdere)      
 (Rd.1-Rd.29)</t>
  </si>
  <si>
    <t>Prevederi an precedent 2015</t>
  </si>
  <si>
    <t>cf. H.G. nr. 948/03.12.2015</t>
  </si>
  <si>
    <t>Propuneri an 2016</t>
  </si>
  <si>
    <t>din vânzarea activelor şi alte operaţii de capital (Rd.17+Rd.18), din care:</t>
  </si>
  <si>
    <t xml:space="preserve">  - Cheltuieli cu salariile aferente reintregirii determinate de cresteri salariale acordate in anul 2014, conform art. 90, alin.1, lit a) din OG nr. 20/2015 modificat prin art. 66 din OUG nr. 47/2015</t>
  </si>
  <si>
    <t>151 c</t>
  </si>
  <si>
    <t>Prevederi an 2015</t>
  </si>
  <si>
    <t>Propuneri an curent 
2016</t>
  </si>
  <si>
    <t>Monica MIHAILEANU</t>
  </si>
  <si>
    <t xml:space="preserve">Realizat
</t>
  </si>
  <si>
    <t>An precedent (2015)</t>
  </si>
  <si>
    <t>An curent (2016)</t>
  </si>
  <si>
    <t>An 2018</t>
  </si>
  <si>
    <t>Aprobat cf.fila MT nr. 48980/29.12.2015</t>
  </si>
  <si>
    <t>Proiecte cu finanţare din fonduri externe nerambursabile aferente cadrului financiar 2014-2020, din care:</t>
  </si>
  <si>
    <t>Aprobat cf. H.G. nr. 948/03.12.2015</t>
  </si>
  <si>
    <t>Estimari 2018</t>
  </si>
  <si>
    <t>Sold initial an 2016</t>
  </si>
  <si>
    <t>Total an 2016</t>
  </si>
  <si>
    <t>din care: Surse an curent 2016</t>
  </si>
  <si>
    <t>Sold final an curent 2016</t>
  </si>
  <si>
    <t>Reduceri Total            an 2018</t>
  </si>
  <si>
    <t>Sold final an 2018</t>
  </si>
  <si>
    <t>Sold sf. an precedent       (2015)</t>
  </si>
  <si>
    <t xml:space="preserve">Valoarea anuală scadentă în anul 2016                          </t>
  </si>
  <si>
    <t xml:space="preserve">Valoarea anuală scadentă în anul 2017         </t>
  </si>
  <si>
    <t xml:space="preserve">Valoarea anuală scadentă în anul 2018                   </t>
  </si>
  <si>
    <t xml:space="preserve">La fundamentarea sumelor s-au utilizat urmatoarele cursuri de schimb, comunicate prin Scrisoarea Cadru MFP privind contextul macroeconomic, metodologia de elaborare a proiectelor de buget pe anul 2016 si a estimarilor pentru anii 2017-2019 </t>
  </si>
  <si>
    <t>curs USD 2016: 4,04</t>
  </si>
  <si>
    <t>curs USD 2017: 3,91</t>
  </si>
  <si>
    <t>curs USD 2018: 3,83</t>
  </si>
  <si>
    <t>curs USD 2019: 3,83</t>
  </si>
  <si>
    <t>curs Euro 2016: 4,44</t>
  </si>
  <si>
    <t>curs Euro 2017: 4,42</t>
  </si>
  <si>
    <t>curs Euro 2018: 4,40</t>
  </si>
  <si>
    <t>curs Euro 2019: 4,40</t>
  </si>
  <si>
    <t xml:space="preserve">Pentru JPY, avand in vedere ca Scrisoarea Cadru MFP nu anunta un curs de schimb pentru aceasta moneda, s-a folosit cursul de: </t>
  </si>
  <si>
    <t>pentru anul 2016 100 JPY=3,4 lei, pentru restul anilor 100 JPY=3,4 lei.</t>
  </si>
  <si>
    <t>2.</t>
  </si>
  <si>
    <t>Sumele sunt exprimate in mii moneda imprumut, respectiv mii lei.</t>
  </si>
  <si>
    <t>an precedent 2015</t>
  </si>
  <si>
    <t>an curent 2016</t>
  </si>
  <si>
    <t>an 2018</t>
  </si>
  <si>
    <t>prelim 2015</t>
  </si>
  <si>
    <t>dif provine dobanzi sp</t>
  </si>
  <si>
    <t>151 d</t>
  </si>
  <si>
    <t xml:space="preserve">  - Cheltuieli cu salariile aferente reintregirii determinate de cresteri salariale acordate in anul 2015, conform art. 54, alin.1, lit b) din Legea bugetului de stat pe anul 2016,                              nr. 339/18.12.2015</t>
  </si>
  <si>
    <t xml:space="preserve">Diminuarea veniturilor din redevente si chirii </t>
  </si>
  <si>
    <t>Cresterea veniturilor din TUI</t>
  </si>
  <si>
    <t>Cresterea cheltuielilor privind activele imobilizate</t>
  </si>
  <si>
    <t>Diminuarea altor cheltuieli de exploatare</t>
  </si>
  <si>
    <t xml:space="preserve"> c) - incasari din inchirierea infrastructurii feroviare neinteroperabile cnf. art. 10 din OUG nr. 12/1998</t>
  </si>
  <si>
    <t xml:space="preserve">e) pentru reparatii capitale la infrastructura feroviara publica interoperabila </t>
  </si>
  <si>
    <t>745128,28-5984,43-2201,28=736.942,57 mii lei</t>
  </si>
  <si>
    <t>736942,57:4=184235,64 mii lei</t>
  </si>
  <si>
    <t>5984,43+2201,28=8.185,71 mii lei</t>
  </si>
  <si>
    <t>8185,71:8 luni=1.023,21 mii lei pe luna</t>
  </si>
  <si>
    <t>procent salarii de baza in total fond salarii</t>
  </si>
  <si>
    <t>procent sporuri in total fond salarii</t>
  </si>
  <si>
    <t>salarii de baza pe 2 luni</t>
  </si>
  <si>
    <t>sporuri 2 luni</t>
  </si>
  <si>
    <t>salarii de baza pe 1 luni</t>
  </si>
  <si>
    <t>fond salarii 2 luni Trim II</t>
  </si>
  <si>
    <t>Dir. Gen. Adj. Tehnic Dezvoltare</t>
  </si>
  <si>
    <t>minus</t>
  </si>
  <si>
    <t>plus</t>
  </si>
  <si>
    <t>Iulian Danut  BLEOTU</t>
  </si>
  <si>
    <t>Iulian Danut BLEOTU</t>
  </si>
  <si>
    <t>A. TOTAL Buget de Stat (LEI)</t>
  </si>
  <si>
    <t>B. TOTAL Surse proprii (LEI)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</si>
</sst>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0.0"/>
    <numFmt numFmtId="181" formatCode="0.00000"/>
    <numFmt numFmtId="182" formatCode="0.0000"/>
    <numFmt numFmtId="183" formatCode="0.0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00000"/>
    <numFmt numFmtId="189" formatCode="#,##0.000"/>
    <numFmt numFmtId="190" formatCode="#,##0.00;[Red]#,##0.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99" applyFont="1" applyFill="1" applyAlignment="1">
      <alignment horizontal="left" vertical="center"/>
      <protection/>
    </xf>
    <xf numFmtId="0" fontId="1" fillId="0" borderId="0" xfId="99" applyFont="1" applyFill="1" applyAlignment="1">
      <alignment horizontal="center" vertical="center"/>
      <protection/>
    </xf>
    <xf numFmtId="0" fontId="1" fillId="0" borderId="0" xfId="99" applyFont="1" applyFill="1" applyBorder="1" applyAlignment="1">
      <alignment vertical="center"/>
      <protection/>
    </xf>
    <xf numFmtId="0" fontId="4" fillId="0" borderId="0" xfId="101" applyFont="1" applyFill="1" applyBorder="1" applyAlignment="1">
      <alignment horizontal="center" vertical="center"/>
      <protection/>
    </xf>
    <xf numFmtId="0" fontId="9" fillId="0" borderId="0" xfId="101" applyFont="1" applyFill="1" applyBorder="1" applyAlignment="1">
      <alignment horizontal="center" vertical="center"/>
      <protection/>
    </xf>
    <xf numFmtId="0" fontId="0" fillId="0" borderId="10" xfId="101" applyFont="1" applyFill="1" applyBorder="1" applyAlignment="1">
      <alignment horizontal="center" vertical="center" wrapText="1"/>
      <protection/>
    </xf>
    <xf numFmtId="0" fontId="0" fillId="0" borderId="10" xfId="101" applyFont="1" applyFill="1" applyBorder="1" applyAlignment="1">
      <alignment horizontal="center" vertical="center"/>
      <protection/>
    </xf>
    <xf numFmtId="0" fontId="2" fillId="0" borderId="10" xfId="101" applyFont="1" applyFill="1" applyBorder="1" applyAlignment="1">
      <alignment horizontal="center" vertical="center"/>
      <protection/>
    </xf>
    <xf numFmtId="4" fontId="2" fillId="0" borderId="10" xfId="101" applyNumberFormat="1" applyFont="1" applyFill="1" applyBorder="1" applyAlignment="1">
      <alignment horizontal="right" vertical="center"/>
      <protection/>
    </xf>
    <xf numFmtId="4" fontId="0" fillId="0" borderId="10" xfId="101" applyNumberFormat="1" applyFont="1" applyFill="1" applyBorder="1" applyAlignment="1">
      <alignment horizontal="right" vertical="center"/>
      <protection/>
    </xf>
    <xf numFmtId="0" fontId="0" fillId="0" borderId="10" xfId="101" applyFont="1" applyFill="1" applyBorder="1" applyAlignment="1">
      <alignment vertical="center"/>
      <protection/>
    </xf>
    <xf numFmtId="0" fontId="0" fillId="0" borderId="10" xfId="101" applyFont="1" applyFill="1" applyBorder="1" applyAlignment="1">
      <alignment horizontal="left" vertical="center" wrapText="1"/>
      <protection/>
    </xf>
    <xf numFmtId="0" fontId="0" fillId="0" borderId="10" xfId="101" applyFont="1" applyFill="1" applyBorder="1" applyAlignment="1">
      <alignment vertical="center" wrapText="1"/>
      <protection/>
    </xf>
    <xf numFmtId="0" fontId="0" fillId="0" borderId="0" xfId="101" applyFont="1" applyFill="1" applyBorder="1" applyAlignment="1">
      <alignment horizontal="center" vertical="center"/>
      <protection/>
    </xf>
    <xf numFmtId="4" fontId="2" fillId="0" borderId="0" xfId="101" applyNumberFormat="1" applyFont="1" applyFill="1" applyBorder="1" applyAlignment="1">
      <alignment horizontal="right" vertical="center"/>
      <protection/>
    </xf>
    <xf numFmtId="4" fontId="0" fillId="0" borderId="0" xfId="101" applyNumberFormat="1" applyFont="1" applyFill="1" applyBorder="1" applyAlignment="1">
      <alignment horizontal="right" vertical="center"/>
      <protection/>
    </xf>
    <xf numFmtId="0" fontId="6" fillId="0" borderId="10" xfId="101" applyFont="1" applyFill="1" applyBorder="1" applyAlignment="1">
      <alignment horizontal="center" vertical="center"/>
      <protection/>
    </xf>
    <xf numFmtId="0" fontId="2" fillId="0" borderId="0" xfId="101" applyFont="1" applyFill="1" applyBorder="1" applyAlignment="1">
      <alignment horizontal="center" vertical="center"/>
      <protection/>
    </xf>
    <xf numFmtId="0" fontId="1" fillId="0" borderId="0" xfId="99" applyFont="1" applyFill="1" applyAlignment="1">
      <alignment vertical="center" wrapText="1"/>
      <protection/>
    </xf>
    <xf numFmtId="0" fontId="2" fillId="0" borderId="0" xfId="101" applyFont="1" applyFill="1" applyBorder="1" applyAlignment="1">
      <alignment horizontal="left" vertical="center"/>
      <protection/>
    </xf>
    <xf numFmtId="0" fontId="4" fillId="0" borderId="0" xfId="101" applyFont="1" applyFill="1" applyBorder="1" applyAlignment="1">
      <alignment horizontal="left" vertical="center"/>
      <protection/>
    </xf>
    <xf numFmtId="0" fontId="0" fillId="0" borderId="0" xfId="101" applyFont="1" applyFill="1" applyBorder="1" applyAlignment="1">
      <alignment horizontal="left" vertical="center"/>
      <protection/>
    </xf>
    <xf numFmtId="0" fontId="4" fillId="0" borderId="0" xfId="101" applyFont="1" applyFill="1" applyBorder="1" applyAlignment="1">
      <alignment vertical="center"/>
      <protection/>
    </xf>
    <xf numFmtId="0" fontId="0" fillId="0" borderId="0" xfId="101" applyFont="1" applyFill="1" applyBorder="1" applyAlignment="1">
      <alignment vertical="center"/>
      <protection/>
    </xf>
    <xf numFmtId="0" fontId="6" fillId="0" borderId="0" xfId="101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2" fillId="0" borderId="0" xfId="101" applyFont="1" applyFill="1" applyBorder="1" applyAlignment="1">
      <alignment vertical="center"/>
      <protection/>
    </xf>
    <xf numFmtId="4" fontId="4" fillId="0" borderId="0" xfId="101" applyNumberFormat="1" applyFont="1" applyFill="1" applyBorder="1" applyAlignment="1">
      <alignment vertical="center"/>
      <protection/>
    </xf>
    <xf numFmtId="0" fontId="4" fillId="0" borderId="0" xfId="101" applyFont="1" applyFill="1" applyBorder="1" applyAlignment="1">
      <alignment vertical="center" wrapText="1"/>
      <protection/>
    </xf>
    <xf numFmtId="0" fontId="9" fillId="0" borderId="0" xfId="101" applyFont="1" applyFill="1" applyBorder="1" applyAlignment="1">
      <alignment vertical="center" wrapText="1"/>
      <protection/>
    </xf>
    <xf numFmtId="0" fontId="9" fillId="0" borderId="0" xfId="101" applyFont="1" applyFill="1" applyBorder="1" applyAlignment="1">
      <alignment vertical="center"/>
      <protection/>
    </xf>
    <xf numFmtId="2" fontId="9" fillId="0" borderId="0" xfId="101" applyNumberFormat="1" applyFont="1" applyFill="1" applyBorder="1" applyAlignment="1">
      <alignment vertical="center"/>
      <protection/>
    </xf>
    <xf numFmtId="0" fontId="10" fillId="0" borderId="0" xfId="101" applyFont="1" applyFill="1" applyBorder="1" applyAlignment="1">
      <alignment vertical="center"/>
      <protection/>
    </xf>
    <xf numFmtId="0" fontId="0" fillId="0" borderId="0" xfId="101" applyFont="1" applyFill="1" applyBorder="1" applyAlignment="1">
      <alignment vertical="center" wrapText="1"/>
      <protection/>
    </xf>
    <xf numFmtId="0" fontId="6" fillId="0" borderId="0" xfId="101" applyFont="1" applyFill="1" applyBorder="1" applyAlignment="1">
      <alignment horizontal="center" vertical="center"/>
      <protection/>
    </xf>
    <xf numFmtId="0" fontId="6" fillId="0" borderId="0" xfId="10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101" applyFont="1" applyFill="1" applyBorder="1" applyAlignment="1">
      <alignment horizontal="center" vertical="center"/>
      <protection/>
    </xf>
    <xf numFmtId="0" fontId="10" fillId="0" borderId="10" xfId="101" applyFont="1" applyFill="1" applyBorder="1" applyAlignment="1">
      <alignment horizontal="left" vertical="center" wrapText="1"/>
      <protection/>
    </xf>
    <xf numFmtId="0" fontId="0" fillId="0" borderId="10" xfId="101" applyFont="1" applyFill="1" applyBorder="1" applyAlignment="1">
      <alignment horizontal="left" vertical="center"/>
      <protection/>
    </xf>
    <xf numFmtId="0" fontId="5" fillId="0" borderId="0" xfId="101" applyFont="1" applyFill="1" applyBorder="1" applyAlignment="1">
      <alignment vertical="center" wrapText="1"/>
      <protection/>
    </xf>
    <xf numFmtId="0" fontId="0" fillId="0" borderId="0" xfId="101" applyFont="1" applyFill="1" applyBorder="1" applyAlignment="1">
      <alignment horizontal="center" vertical="center" wrapText="1"/>
      <protection/>
    </xf>
    <xf numFmtId="0" fontId="6" fillId="0" borderId="10" xfId="101" applyFont="1" applyFill="1" applyBorder="1" applyAlignment="1">
      <alignment horizontal="left" vertical="center" wrapText="1"/>
      <protection/>
    </xf>
    <xf numFmtId="3" fontId="0" fillId="0" borderId="10" xfId="101" applyNumberFormat="1" applyFont="1" applyFill="1" applyBorder="1" applyAlignment="1">
      <alignment vertical="center"/>
      <protection/>
    </xf>
    <xf numFmtId="0" fontId="0" fillId="0" borderId="10" xfId="102" applyFont="1" applyFill="1" applyBorder="1" applyAlignment="1">
      <alignment horizontal="left" vertical="center" wrapText="1"/>
      <protection/>
    </xf>
    <xf numFmtId="0" fontId="2" fillId="0" borderId="10" xfId="102" applyFont="1" applyFill="1" applyBorder="1" applyAlignment="1">
      <alignment horizontal="center" vertical="center"/>
      <protection/>
    </xf>
    <xf numFmtId="0" fontId="9" fillId="0" borderId="10" xfId="102" applyFont="1" applyFill="1" applyBorder="1" applyAlignment="1">
      <alignment horizontal="center" vertical="center"/>
      <protection/>
    </xf>
    <xf numFmtId="0" fontId="0" fillId="0" borderId="10" xfId="100" applyFont="1" applyFill="1" applyBorder="1" applyAlignment="1">
      <alignment horizontal="left" vertical="top" wrapText="1"/>
      <protection/>
    </xf>
    <xf numFmtId="49" fontId="0" fillId="0" borderId="10" xfId="101" applyNumberFormat="1" applyFont="1" applyFill="1" applyBorder="1" applyAlignment="1">
      <alignment horizontal="left" vertical="top" wrapText="1"/>
      <protection/>
    </xf>
    <xf numFmtId="0" fontId="0" fillId="0" borderId="10" xfId="101" applyFont="1" applyFill="1" applyBorder="1" applyAlignment="1">
      <alignment horizontal="left" vertical="center"/>
      <protection/>
    </xf>
    <xf numFmtId="0" fontId="0" fillId="0" borderId="10" xfId="102" applyFont="1" applyFill="1" applyBorder="1" applyAlignment="1">
      <alignment horizontal="left" vertical="top" wrapText="1"/>
      <protection/>
    </xf>
    <xf numFmtId="0" fontId="2" fillId="0" borderId="10" xfId="102" applyFont="1" applyFill="1" applyBorder="1" applyAlignment="1">
      <alignment horizontal="center" vertical="center" wrapText="1"/>
      <protection/>
    </xf>
    <xf numFmtId="0" fontId="0" fillId="0" borderId="10" xfId="102" applyFont="1" applyFill="1" applyBorder="1" applyAlignment="1">
      <alignment horizontal="center" vertical="center"/>
      <protection/>
    </xf>
    <xf numFmtId="0" fontId="0" fillId="0" borderId="10" xfId="102" applyFont="1" applyFill="1" applyBorder="1" applyAlignment="1">
      <alignment horizontal="center"/>
      <protection/>
    </xf>
    <xf numFmtId="0" fontId="2" fillId="0" borderId="10" xfId="100" applyFont="1" applyFill="1" applyBorder="1" applyAlignment="1">
      <alignment horizontal="center" vertical="center" wrapText="1"/>
      <protection/>
    </xf>
    <xf numFmtId="0" fontId="0" fillId="0" borderId="10" xfId="102" applyFont="1" applyFill="1" applyBorder="1" applyAlignment="1">
      <alignment horizontal="center" vertical="center"/>
      <protection/>
    </xf>
    <xf numFmtId="0" fontId="0" fillId="0" borderId="10" xfId="102" applyFont="1" applyFill="1" applyBorder="1" applyAlignment="1">
      <alignment horizontal="center" vertical="center" wrapText="1"/>
      <protection/>
    </xf>
    <xf numFmtId="0" fontId="0" fillId="0" borderId="10" xfId="100" applyFont="1" applyFill="1" applyBorder="1" applyAlignment="1">
      <alignment horizontal="center" vertical="center" wrapText="1"/>
      <protection/>
    </xf>
    <xf numFmtId="0" fontId="1" fillId="0" borderId="10" xfId="102" applyFont="1" applyFill="1" applyBorder="1" applyAlignment="1">
      <alignment horizontal="center" vertical="center"/>
      <protection/>
    </xf>
    <xf numFmtId="0" fontId="0" fillId="0" borderId="10" xfId="102" applyFont="1" applyFill="1" applyBorder="1" applyAlignment="1">
      <alignment horizontal="center"/>
      <protection/>
    </xf>
    <xf numFmtId="0" fontId="2" fillId="0" borderId="10" xfId="101" applyFont="1" applyFill="1" applyBorder="1" applyAlignment="1">
      <alignment horizontal="center" vertical="center" wrapText="1"/>
      <protection/>
    </xf>
    <xf numFmtId="0" fontId="32" fillId="0" borderId="0" xfId="99" applyFont="1" applyFill="1" applyAlignment="1">
      <alignment horizontal="left" vertical="center"/>
      <protection/>
    </xf>
    <xf numFmtId="3" fontId="32" fillId="0" borderId="0" xfId="99" applyNumberFormat="1" applyFont="1" applyFill="1" applyAlignment="1">
      <alignment horizontal="center" vertical="center"/>
      <protection/>
    </xf>
    <xf numFmtId="0" fontId="32" fillId="0" borderId="0" xfId="99" applyFont="1" applyFill="1" applyBorder="1" applyAlignment="1">
      <alignment vertical="center"/>
      <protection/>
    </xf>
    <xf numFmtId="0" fontId="32" fillId="0" borderId="0" xfId="99" applyFont="1" applyFill="1" applyAlignment="1">
      <alignment horizontal="center" vertical="center"/>
      <protection/>
    </xf>
    <xf numFmtId="0" fontId="32" fillId="0" borderId="0" xfId="99" applyFont="1" applyFill="1" applyAlignment="1">
      <alignment wrapText="1"/>
      <protection/>
    </xf>
    <xf numFmtId="3" fontId="9" fillId="0" borderId="0" xfId="99" applyNumberFormat="1" applyFont="1" applyFill="1" applyAlignment="1">
      <alignment horizontal="center"/>
      <protection/>
    </xf>
    <xf numFmtId="0" fontId="1" fillId="0" borderId="0" xfId="99" applyFont="1" applyFill="1">
      <alignment/>
      <protection/>
    </xf>
    <xf numFmtId="0" fontId="33" fillId="0" borderId="0" xfId="99" applyFont="1" applyFill="1" applyBorder="1">
      <alignment/>
      <protection/>
    </xf>
    <xf numFmtId="0" fontId="1" fillId="0" borderId="0" xfId="99" applyFont="1" applyFill="1" applyBorder="1">
      <alignment/>
      <protection/>
    </xf>
    <xf numFmtId="0" fontId="9" fillId="0" borderId="0" xfId="99" applyFont="1" applyFill="1" applyBorder="1">
      <alignment/>
      <protection/>
    </xf>
    <xf numFmtId="0" fontId="34" fillId="0" borderId="0" xfId="99" applyFont="1" applyFill="1" applyBorder="1">
      <alignment/>
      <protection/>
    </xf>
    <xf numFmtId="0" fontId="32" fillId="0" borderId="0" xfId="0" applyFont="1" applyFill="1" applyAlignment="1">
      <alignment/>
    </xf>
    <xf numFmtId="0" fontId="33" fillId="0" borderId="0" xfId="99" applyFont="1" applyFill="1">
      <alignment/>
      <protection/>
    </xf>
    <xf numFmtId="0" fontId="9" fillId="0" borderId="0" xfId="99" applyFont="1" applyFill="1">
      <alignment/>
      <protection/>
    </xf>
    <xf numFmtId="0" fontId="9" fillId="0" borderId="0" xfId="99" applyFont="1" applyFill="1" applyBorder="1" applyAlignment="1">
      <alignment horizontal="center" vertical="center"/>
      <protection/>
    </xf>
    <xf numFmtId="3" fontId="9" fillId="0" borderId="0" xfId="99" applyNumberFormat="1" applyFont="1" applyFill="1" applyBorder="1" applyAlignment="1">
      <alignment horizontal="center" vertical="center"/>
      <protection/>
    </xf>
    <xf numFmtId="0" fontId="9" fillId="0" borderId="0" xfId="99" applyFont="1" applyFill="1" applyBorder="1" applyAlignment="1">
      <alignment vertical="center"/>
      <protection/>
    </xf>
    <xf numFmtId="0" fontId="9" fillId="0" borderId="0" xfId="99" applyFont="1" applyFill="1" applyBorder="1" applyAlignment="1">
      <alignment wrapText="1"/>
      <protection/>
    </xf>
    <xf numFmtId="3" fontId="9" fillId="0" borderId="0" xfId="99" applyNumberFormat="1" applyFont="1" applyFill="1" applyBorder="1" applyAlignment="1">
      <alignment horizontal="center"/>
      <protection/>
    </xf>
    <xf numFmtId="0" fontId="35" fillId="0" borderId="0" xfId="101" applyFont="1" applyFill="1" applyBorder="1" applyAlignment="1">
      <alignment vertical="center" wrapText="1"/>
      <protection/>
    </xf>
    <xf numFmtId="0" fontId="1" fillId="0" borderId="0" xfId="99" applyFont="1" applyFill="1" applyBorder="1" applyAlignment="1">
      <alignment horizontal="right"/>
      <protection/>
    </xf>
    <xf numFmtId="4" fontId="0" fillId="0" borderId="10" xfId="99" applyNumberFormat="1" applyFont="1" applyFill="1" applyBorder="1" applyAlignment="1">
      <alignment horizontal="left" vertical="center" wrapText="1"/>
      <protection/>
    </xf>
    <xf numFmtId="3" fontId="0" fillId="0" borderId="10" xfId="99" applyNumberFormat="1" applyFont="1" applyFill="1" applyBorder="1" applyAlignment="1">
      <alignment horizontal="center" vertical="center" wrapText="1"/>
      <protection/>
    </xf>
    <xf numFmtId="3" fontId="10" fillId="0" borderId="10" xfId="99" applyNumberFormat="1" applyFont="1" applyFill="1" applyBorder="1" applyAlignment="1">
      <alignment horizontal="center" vertical="center" wrapText="1"/>
      <protection/>
    </xf>
    <xf numFmtId="3" fontId="36" fillId="0" borderId="0" xfId="99" applyNumberFormat="1" applyFont="1" applyFill="1" applyBorder="1" applyAlignment="1">
      <alignment horizontal="center"/>
      <protection/>
    </xf>
    <xf numFmtId="3" fontId="10" fillId="0" borderId="0" xfId="99" applyNumberFormat="1" applyFont="1" applyFill="1" applyBorder="1" applyAlignment="1">
      <alignment horizontal="center"/>
      <protection/>
    </xf>
    <xf numFmtId="3" fontId="10" fillId="0" borderId="0" xfId="99" applyNumberFormat="1" applyFont="1" applyFill="1" applyAlignment="1">
      <alignment horizontal="center"/>
      <protection/>
    </xf>
    <xf numFmtId="4" fontId="11" fillId="0" borderId="10" xfId="99" applyNumberFormat="1" applyFont="1" applyFill="1" applyBorder="1" applyAlignment="1">
      <alignment horizontal="left" vertical="center" wrapText="1"/>
      <protection/>
    </xf>
    <xf numFmtId="3" fontId="11" fillId="0" borderId="10" xfId="99" applyNumberFormat="1" applyFont="1" applyFill="1" applyBorder="1" applyAlignment="1">
      <alignment horizontal="center" vertical="center" wrapText="1"/>
      <protection/>
    </xf>
    <xf numFmtId="4" fontId="11" fillId="0" borderId="10" xfId="99" applyNumberFormat="1" applyFont="1" applyFill="1" applyBorder="1" applyAlignment="1">
      <alignment vertical="center" wrapText="1"/>
      <protection/>
    </xf>
    <xf numFmtId="4" fontId="37" fillId="0" borderId="0" xfId="99" applyNumberFormat="1" applyFont="1" applyFill="1" applyBorder="1">
      <alignment/>
      <protection/>
    </xf>
    <xf numFmtId="0" fontId="37" fillId="0" borderId="0" xfId="99" applyFont="1" applyFill="1" applyBorder="1">
      <alignment/>
      <protection/>
    </xf>
    <xf numFmtId="0" fontId="37" fillId="0" borderId="0" xfId="99" applyFont="1" applyFill="1">
      <alignment/>
      <protection/>
    </xf>
    <xf numFmtId="4" fontId="0" fillId="0" borderId="10" xfId="99" applyNumberFormat="1" applyFont="1" applyFill="1" applyBorder="1" applyAlignment="1">
      <alignment vertical="center" wrapText="1"/>
      <protection/>
    </xf>
    <xf numFmtId="4" fontId="12" fillId="0" borderId="10" xfId="99" applyNumberFormat="1" applyFont="1" applyFill="1" applyBorder="1" applyAlignment="1">
      <alignment horizontal="left" vertical="center" wrapText="1"/>
      <protection/>
    </xf>
    <xf numFmtId="3" fontId="12" fillId="0" borderId="10" xfId="99" applyNumberFormat="1" applyFont="1" applyFill="1" applyBorder="1" applyAlignment="1">
      <alignment horizontal="center" vertical="center" wrapText="1"/>
      <protection/>
    </xf>
    <xf numFmtId="4" fontId="12" fillId="0" borderId="10" xfId="99" applyNumberFormat="1" applyFont="1" applyFill="1" applyBorder="1" applyAlignment="1">
      <alignment vertical="center" wrapText="1"/>
      <protection/>
    </xf>
    <xf numFmtId="0" fontId="38" fillId="0" borderId="0" xfId="99" applyFont="1" applyFill="1" applyBorder="1">
      <alignment/>
      <protection/>
    </xf>
    <xf numFmtId="0" fontId="38" fillId="0" borderId="0" xfId="99" applyFont="1" applyFill="1">
      <alignment/>
      <protection/>
    </xf>
    <xf numFmtId="0" fontId="34" fillId="0" borderId="0" xfId="99" applyFont="1" applyFill="1" applyBorder="1" applyAlignment="1">
      <alignment wrapText="1"/>
      <protection/>
    </xf>
    <xf numFmtId="0" fontId="37" fillId="0" borderId="0" xfId="99" applyFont="1" applyFill="1" applyBorder="1" applyAlignment="1">
      <alignment wrapText="1"/>
      <protection/>
    </xf>
    <xf numFmtId="0" fontId="37" fillId="0" borderId="0" xfId="99" applyFont="1" applyFill="1" applyAlignment="1">
      <alignment wrapText="1"/>
      <protection/>
    </xf>
    <xf numFmtId="0" fontId="39" fillId="0" borderId="0" xfId="99" applyFont="1" applyFill="1" applyBorder="1">
      <alignment/>
      <protection/>
    </xf>
    <xf numFmtId="0" fontId="40" fillId="0" borderId="0" xfId="99" applyFont="1" applyFill="1" applyBorder="1">
      <alignment/>
      <protection/>
    </xf>
    <xf numFmtId="0" fontId="40" fillId="0" borderId="0" xfId="99" applyFont="1" applyFill="1">
      <alignment/>
      <protection/>
    </xf>
    <xf numFmtId="4" fontId="9" fillId="0" borderId="0" xfId="99" applyNumberFormat="1" applyFont="1" applyFill="1" applyBorder="1">
      <alignment/>
      <protection/>
    </xf>
    <xf numFmtId="4" fontId="33" fillId="0" borderId="0" xfId="99" applyNumberFormat="1" applyFont="1" applyFill="1" applyBorder="1">
      <alignment/>
      <protection/>
    </xf>
    <xf numFmtId="3" fontId="33" fillId="0" borderId="0" xfId="99" applyNumberFormat="1" applyFont="1" applyFill="1" applyBorder="1">
      <alignment/>
      <protection/>
    </xf>
    <xf numFmtId="4" fontId="12" fillId="0" borderId="0" xfId="99" applyNumberFormat="1" applyFont="1" applyFill="1" applyBorder="1" applyAlignment="1">
      <alignment horizontal="left" vertical="center" wrapText="1"/>
      <protection/>
    </xf>
    <xf numFmtId="3" fontId="12" fillId="0" borderId="0" xfId="99" applyNumberFormat="1" applyFont="1" applyFill="1" applyBorder="1" applyAlignment="1">
      <alignment horizontal="center" vertical="center" wrapText="1"/>
      <protection/>
    </xf>
    <xf numFmtId="4" fontId="12" fillId="0" borderId="0" xfId="99" applyNumberFormat="1" applyFont="1" applyFill="1" applyBorder="1" applyAlignment="1">
      <alignment vertical="center" wrapText="1"/>
      <protection/>
    </xf>
    <xf numFmtId="0" fontId="1" fillId="0" borderId="0" xfId="99" applyFont="1" applyFill="1" applyBorder="1" applyAlignment="1">
      <alignment horizontal="center" vertical="center"/>
      <protection/>
    </xf>
    <xf numFmtId="3" fontId="1" fillId="0" borderId="0" xfId="99" applyNumberFormat="1" applyFont="1" applyFill="1" applyBorder="1" applyAlignment="1">
      <alignment horizontal="center" vertical="center"/>
      <protection/>
    </xf>
    <xf numFmtId="0" fontId="1" fillId="0" borderId="0" xfId="99" applyFont="1" applyFill="1" applyBorder="1" applyAlignment="1">
      <alignment wrapText="1"/>
      <protection/>
    </xf>
    <xf numFmtId="3" fontId="1" fillId="0" borderId="0" xfId="99" applyNumberFormat="1" applyFont="1" applyFill="1" applyBorder="1" applyAlignment="1">
      <alignment horizontal="center"/>
      <protection/>
    </xf>
    <xf numFmtId="3" fontId="1" fillId="0" borderId="0" xfId="99" applyNumberFormat="1" applyFont="1" applyFill="1" applyAlignment="1">
      <alignment horizontal="center" vertical="center"/>
      <protection/>
    </xf>
    <xf numFmtId="0" fontId="1" fillId="0" borderId="0" xfId="99" applyFont="1" applyFill="1" applyAlignment="1">
      <alignment wrapText="1"/>
      <protection/>
    </xf>
    <xf numFmtId="3" fontId="1" fillId="0" borderId="0" xfId="99" applyNumberFormat="1" applyFont="1" applyFill="1" applyAlignment="1">
      <alignment horizontal="center"/>
      <protection/>
    </xf>
    <xf numFmtId="4" fontId="0" fillId="0" borderId="0" xfId="101" applyNumberFormat="1" applyFont="1" applyFill="1" applyBorder="1" applyAlignment="1">
      <alignment vertical="center"/>
      <protection/>
    </xf>
    <xf numFmtId="0" fontId="7" fillId="0" borderId="0" xfId="99" applyFont="1" applyFill="1" applyAlignment="1">
      <alignment horizontal="left" vertical="center"/>
      <protection/>
    </xf>
    <xf numFmtId="0" fontId="41" fillId="0" borderId="0" xfId="99" applyFont="1" applyFill="1" applyAlignment="1">
      <alignment horizontal="left" vertical="center"/>
      <protection/>
    </xf>
    <xf numFmtId="0" fontId="41" fillId="0" borderId="0" xfId="99" applyFont="1" applyFill="1" applyAlignment="1">
      <alignment horizontal="center" vertical="center"/>
      <protection/>
    </xf>
    <xf numFmtId="0" fontId="41" fillId="0" borderId="0" xfId="9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2" fillId="24" borderId="10" xfId="0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10" xfId="10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7" fillId="0" borderId="0" xfId="99" applyFont="1" applyFill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7" fillId="0" borderId="0" xfId="99" applyFont="1" applyFill="1" applyAlignment="1">
      <alignment wrapText="1"/>
      <protection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3" fontId="46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101" applyFont="1" applyFill="1" applyBorder="1" applyAlignment="1">
      <alignment horizontal="left"/>
      <protection/>
    </xf>
    <xf numFmtId="0" fontId="46" fillId="0" borderId="10" xfId="101" applyFont="1" applyFill="1" applyBorder="1" applyAlignment="1">
      <alignment horizontal="center"/>
      <protection/>
    </xf>
    <xf numFmtId="4" fontId="46" fillId="0" borderId="10" xfId="101" applyNumberFormat="1" applyFont="1" applyFill="1" applyBorder="1" applyAlignment="1">
      <alignment horizontal="center"/>
      <protection/>
    </xf>
    <xf numFmtId="0" fontId="46" fillId="0" borderId="10" xfId="101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0" xfId="101" applyFont="1" applyFill="1" applyBorder="1" applyAlignment="1">
      <alignment horizontal="center" vertical="center"/>
      <protection/>
    </xf>
    <xf numFmtId="0" fontId="12" fillId="0" borderId="0" xfId="101" applyFont="1" applyFill="1" applyBorder="1" applyAlignment="1">
      <alignment vertical="center"/>
      <protection/>
    </xf>
    <xf numFmtId="0" fontId="0" fillId="24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10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7" fillId="0" borderId="0" xfId="99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51" fillId="0" borderId="0" xfId="0" applyFont="1" applyFill="1" applyAlignment="1">
      <alignment/>
    </xf>
    <xf numFmtId="0" fontId="40" fillId="0" borderId="0" xfId="0" applyFont="1" applyFill="1" applyAlignment="1">
      <alignment/>
    </xf>
    <xf numFmtId="2" fontId="51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center"/>
    </xf>
    <xf numFmtId="4" fontId="40" fillId="0" borderId="10" xfId="101" applyNumberFormat="1" applyFont="1" applyFill="1" applyBorder="1" applyAlignment="1">
      <alignment horizontal="right" vertical="center"/>
      <protection/>
    </xf>
    <xf numFmtId="0" fontId="46" fillId="0" borderId="0" xfId="0" applyFont="1" applyFill="1" applyAlignment="1">
      <alignment horizontal="center"/>
    </xf>
    <xf numFmtId="0" fontId="49" fillId="0" borderId="0" xfId="89" applyFont="1" applyFill="1" applyAlignment="1">
      <alignment horizontal="right"/>
      <protection/>
    </xf>
    <xf numFmtId="3" fontId="46" fillId="0" borderId="0" xfId="89" applyNumberFormat="1" applyFont="1" applyFill="1">
      <alignment/>
      <protection/>
    </xf>
    <xf numFmtId="0" fontId="46" fillId="0" borderId="0" xfId="89" applyFont="1" applyFill="1" applyAlignment="1">
      <alignment horizontal="right"/>
      <protection/>
    </xf>
    <xf numFmtId="0" fontId="0" fillId="0" borderId="0" xfId="89" applyFont="1" applyFill="1" applyAlignment="1">
      <alignment horizontal="center"/>
      <protection/>
    </xf>
    <xf numFmtId="0" fontId="0" fillId="0" borderId="0" xfId="89" applyFont="1" applyFill="1">
      <alignment/>
      <protection/>
    </xf>
    <xf numFmtId="0" fontId="53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0" fillId="0" borderId="0" xfId="101" applyFont="1" applyFill="1" applyBorder="1" applyAlignment="1">
      <alignment horizontal="right" vertical="center"/>
      <protection/>
    </xf>
    <xf numFmtId="4" fontId="32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/>
    </xf>
    <xf numFmtId="4" fontId="46" fillId="0" borderId="0" xfId="0" applyNumberFormat="1" applyFont="1" applyFill="1" applyBorder="1" applyAlignment="1">
      <alignment/>
    </xf>
    <xf numFmtId="190" fontId="7" fillId="0" borderId="0" xfId="89" applyNumberFormat="1" applyFont="1" applyFill="1" applyBorder="1">
      <alignment/>
      <protection/>
    </xf>
    <xf numFmtId="4" fontId="7" fillId="0" borderId="0" xfId="89" applyNumberFormat="1" applyFont="1" applyFill="1" applyBorder="1" applyAlignment="1">
      <alignment horizontal="right"/>
      <protection/>
    </xf>
    <xf numFmtId="4" fontId="32" fillId="24" borderId="0" xfId="89" applyNumberFormat="1" applyFont="1" applyFill="1" applyBorder="1" applyAlignment="1">
      <alignment horizontal="right"/>
      <protection/>
    </xf>
    <xf numFmtId="4" fontId="7" fillId="0" borderId="0" xfId="89" applyNumberFormat="1" applyFont="1" applyFill="1" applyBorder="1" applyAlignment="1">
      <alignment horizontal="right" vertical="center"/>
      <protection/>
    </xf>
    <xf numFmtId="4" fontId="48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/>
    </xf>
    <xf numFmtId="0" fontId="46" fillId="0" borderId="0" xfId="89" applyFont="1" applyFill="1" applyBorder="1">
      <alignment/>
      <protection/>
    </xf>
    <xf numFmtId="0" fontId="5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101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10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/>
    </xf>
    <xf numFmtId="0" fontId="4" fillId="0" borderId="0" xfId="10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101" applyFont="1" applyFill="1" applyBorder="1" applyAlignment="1">
      <alignment vertical="center" wrapText="1"/>
      <protection/>
    </xf>
    <xf numFmtId="0" fontId="56" fillId="0" borderId="0" xfId="99" applyFont="1" applyFill="1" applyBorder="1" applyAlignment="1">
      <alignment/>
      <protection/>
    </xf>
    <xf numFmtId="0" fontId="56" fillId="0" borderId="0" xfId="99" applyFont="1" applyFill="1" applyBorder="1">
      <alignment/>
      <protection/>
    </xf>
    <xf numFmtId="0" fontId="4" fillId="0" borderId="0" xfId="101" applyFont="1" applyFill="1" applyBorder="1" applyAlignment="1">
      <alignment horizontal="center" vertical="center" wrapText="1"/>
      <protection/>
    </xf>
    <xf numFmtId="0" fontId="0" fillId="0" borderId="0" xfId="101" applyFont="1" applyFill="1" applyBorder="1" applyAlignment="1">
      <alignment horizontal="left" vertical="top" wrapText="1"/>
      <protection/>
    </xf>
    <xf numFmtId="0" fontId="0" fillId="0" borderId="0" xfId="10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/>
    </xf>
    <xf numFmtId="0" fontId="2" fillId="0" borderId="0" xfId="101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3" fontId="0" fillId="0" borderId="0" xfId="101" applyNumberFormat="1" applyFont="1" applyFill="1" applyBorder="1" applyAlignment="1">
      <alignment vertical="center"/>
      <protection/>
    </xf>
    <xf numFmtId="4" fontId="10" fillId="0" borderId="0" xfId="101" applyNumberFormat="1" applyFont="1" applyFill="1" applyBorder="1" applyAlignment="1">
      <alignment vertical="center"/>
      <protection/>
    </xf>
    <xf numFmtId="0" fontId="57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6" fillId="0" borderId="0" xfId="101" applyNumberFormat="1" applyFont="1" applyFill="1" applyBorder="1" applyAlignment="1">
      <alignment vertical="center"/>
      <protection/>
    </xf>
    <xf numFmtId="4" fontId="2" fillId="0" borderId="0" xfId="101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3" fontId="4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38" fillId="0" borderId="0" xfId="99" applyNumberFormat="1" applyFont="1" applyFill="1" applyBorder="1">
      <alignment/>
      <protection/>
    </xf>
    <xf numFmtId="15" fontId="0" fillId="0" borderId="0" xfId="101" applyNumberFormat="1" applyFont="1" applyFill="1" applyBorder="1" applyAlignment="1">
      <alignment horizontal="center" vertical="center"/>
      <protection/>
    </xf>
    <xf numFmtId="0" fontId="56" fillId="0" borderId="0" xfId="10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/>
    </xf>
    <xf numFmtId="0" fontId="56" fillId="0" borderId="0" xfId="99" applyFont="1" applyFill="1" applyBorder="1" applyAlignment="1">
      <alignment horizontal="center"/>
      <protection/>
    </xf>
    <xf numFmtId="0" fontId="50" fillId="0" borderId="0" xfId="0" applyFont="1" applyFill="1" applyAlignment="1">
      <alignment/>
    </xf>
    <xf numFmtId="0" fontId="50" fillId="0" borderId="0" xfId="99" applyFont="1" applyFill="1" applyBorder="1" applyAlignment="1">
      <alignment wrapText="1"/>
      <protection/>
    </xf>
    <xf numFmtId="0" fontId="56" fillId="0" borderId="0" xfId="0" applyFont="1" applyFill="1" applyAlignment="1">
      <alignment horizontal="left"/>
    </xf>
    <xf numFmtId="0" fontId="43" fillId="0" borderId="0" xfId="0" applyFont="1" applyAlignment="1">
      <alignment/>
    </xf>
    <xf numFmtId="4" fontId="12" fillId="0" borderId="10" xfId="101" applyNumberFormat="1" applyFont="1" applyFill="1" applyBorder="1" applyAlignment="1">
      <alignment horizontal="right" vertical="center"/>
      <protection/>
    </xf>
    <xf numFmtId="3" fontId="46" fillId="0" borderId="10" xfId="0" applyNumberFormat="1" applyFont="1" applyFill="1" applyBorder="1" applyAlignment="1">
      <alignment vertical="center" wrapText="1"/>
    </xf>
    <xf numFmtId="0" fontId="54" fillId="0" borderId="0" xfId="89" applyFont="1" applyFill="1" applyBorder="1" applyAlignment="1">
      <alignment horizontal="center"/>
      <protection/>
    </xf>
    <xf numFmtId="0" fontId="49" fillId="0" borderId="0" xfId="89" applyFont="1" applyFill="1" applyBorder="1" applyAlignment="1">
      <alignment horizontal="center" vertical="center"/>
      <protection/>
    </xf>
    <xf numFmtId="3" fontId="49" fillId="0" borderId="0" xfId="89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3" fontId="46" fillId="24" borderId="10" xfId="0" applyNumberFormat="1" applyFont="1" applyFill="1" applyBorder="1" applyAlignment="1">
      <alignment horizontal="center" vertical="center" wrapText="1"/>
    </xf>
    <xf numFmtId="3" fontId="46" fillId="24" borderId="10" xfId="0" applyNumberFormat="1" applyFont="1" applyFill="1" applyBorder="1" applyAlignment="1">
      <alignment horizontal="center" vertical="center"/>
    </xf>
    <xf numFmtId="3" fontId="49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/>
    </xf>
    <xf numFmtId="0" fontId="46" fillId="24" borderId="0" xfId="0" applyFont="1" applyFill="1" applyAlignment="1">
      <alignment/>
    </xf>
    <xf numFmtId="3" fontId="49" fillId="20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/>
    </xf>
    <xf numFmtId="0" fontId="49" fillId="0" borderId="0" xfId="0" applyFont="1" applyFill="1" applyAlignment="1">
      <alignment horizontal="right" vertical="center"/>
    </xf>
    <xf numFmtId="4" fontId="46" fillId="0" borderId="0" xfId="0" applyNumberFormat="1" applyFont="1" applyFill="1" applyAlignment="1">
      <alignment/>
    </xf>
    <xf numFmtId="3" fontId="46" fillId="24" borderId="10" xfId="0" applyNumberFormat="1" applyFont="1" applyFill="1" applyBorder="1" applyAlignment="1">
      <alignment horizontal="center" wrapText="1"/>
    </xf>
    <xf numFmtId="3" fontId="46" fillId="24" borderId="10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3" fontId="49" fillId="24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right"/>
    </xf>
    <xf numFmtId="3" fontId="59" fillId="24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vertical="center" wrapText="1"/>
    </xf>
    <xf numFmtId="187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20" borderId="0" xfId="0" applyFont="1" applyFill="1" applyAlignment="1">
      <alignment vertical="center"/>
    </xf>
    <xf numFmtId="0" fontId="50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4" fillId="20" borderId="0" xfId="101" applyFont="1" applyFill="1" applyBorder="1" applyAlignment="1">
      <alignment horizontal="left" vertical="center" wrapText="1"/>
      <protection/>
    </xf>
    <xf numFmtId="0" fontId="1" fillId="20" borderId="0" xfId="99" applyFont="1" applyFill="1" applyBorder="1">
      <alignment/>
      <protection/>
    </xf>
    <xf numFmtId="0" fontId="57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56" fillId="20" borderId="0" xfId="101" applyFont="1" applyFill="1" applyBorder="1" applyAlignment="1">
      <alignment horizontal="center" vertical="center" wrapText="1"/>
      <protection/>
    </xf>
    <xf numFmtId="0" fontId="56" fillId="20" borderId="0" xfId="99" applyFont="1" applyFill="1" applyBorder="1" applyAlignment="1">
      <alignment/>
      <protection/>
    </xf>
    <xf numFmtId="4" fontId="0" fillId="20" borderId="0" xfId="0" applyNumberFormat="1" applyFont="1" applyFill="1" applyAlignment="1">
      <alignment vertical="center"/>
    </xf>
    <xf numFmtId="4" fontId="2" fillId="20" borderId="0" xfId="0" applyNumberFormat="1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12" fillId="0" borderId="10" xfId="101" applyFont="1" applyFill="1" applyBorder="1" applyAlignment="1">
      <alignment horizontal="center" vertical="center" wrapText="1"/>
      <protection/>
    </xf>
    <xf numFmtId="0" fontId="60" fillId="0" borderId="10" xfId="101" applyFont="1" applyFill="1" applyBorder="1" applyAlignment="1">
      <alignment horizontal="center" vertical="center"/>
      <protection/>
    </xf>
    <xf numFmtId="4" fontId="11" fillId="0" borderId="10" xfId="101" applyNumberFormat="1" applyFont="1" applyFill="1" applyBorder="1" applyAlignment="1">
      <alignment horizontal="right" vertical="center"/>
      <protection/>
    </xf>
    <xf numFmtId="4" fontId="12" fillId="24" borderId="10" xfId="101" applyNumberFormat="1" applyFont="1" applyFill="1" applyBorder="1" applyAlignment="1">
      <alignment horizontal="right" vertical="center"/>
      <protection/>
    </xf>
    <xf numFmtId="0" fontId="12" fillId="0" borderId="10" xfId="101" applyFont="1" applyFill="1" applyBorder="1" applyAlignment="1">
      <alignment vertical="center"/>
      <protection/>
    </xf>
    <xf numFmtId="4" fontId="12" fillId="0" borderId="10" xfId="101" applyNumberFormat="1" applyFont="1" applyFill="1" applyBorder="1" applyAlignment="1">
      <alignment vertical="center"/>
      <protection/>
    </xf>
    <xf numFmtId="4" fontId="11" fillId="24" borderId="10" xfId="101" applyNumberFormat="1" applyFont="1" applyFill="1" applyBorder="1" applyAlignment="1">
      <alignment horizontal="right" vertical="center"/>
      <protection/>
    </xf>
    <xf numFmtId="4" fontId="11" fillId="0" borderId="10" xfId="101" applyNumberFormat="1" applyFont="1" applyFill="1" applyBorder="1" applyAlignment="1">
      <alignment vertical="center"/>
      <protection/>
    </xf>
    <xf numFmtId="4" fontId="60" fillId="0" borderId="10" xfId="101" applyNumberFormat="1" applyFont="1" applyFill="1" applyBorder="1" applyAlignment="1">
      <alignment vertical="center"/>
      <protection/>
    </xf>
    <xf numFmtId="4" fontId="11" fillId="24" borderId="10" xfId="101" applyNumberFormat="1" applyFont="1" applyFill="1" applyBorder="1" applyAlignment="1">
      <alignment horizontal="center" vertical="center"/>
      <protection/>
    </xf>
    <xf numFmtId="4" fontId="12" fillId="24" borderId="10" xfId="101" applyNumberFormat="1" applyFont="1" applyFill="1" applyBorder="1" applyAlignment="1">
      <alignment vertical="center"/>
      <protection/>
    </xf>
    <xf numFmtId="3" fontId="12" fillId="0" borderId="10" xfId="101" applyNumberFormat="1" applyFont="1" applyFill="1" applyBorder="1" applyAlignment="1">
      <alignment vertical="center"/>
      <protection/>
    </xf>
    <xf numFmtId="3" fontId="12" fillId="0" borderId="10" xfId="101" applyNumberFormat="1" applyFont="1" applyFill="1" applyBorder="1" applyAlignment="1">
      <alignment horizontal="right" vertical="center"/>
      <protection/>
    </xf>
    <xf numFmtId="0" fontId="12" fillId="0" borderId="10" xfId="101" applyFont="1" applyFill="1" applyBorder="1" applyAlignment="1">
      <alignment horizontal="center" vertical="center"/>
      <protection/>
    </xf>
    <xf numFmtId="0" fontId="12" fillId="0" borderId="10" xfId="101" applyFont="1" applyFill="1" applyBorder="1" applyAlignment="1">
      <alignment horizontal="left" vertical="center" wrapText="1"/>
      <protection/>
    </xf>
    <xf numFmtId="3" fontId="60" fillId="0" borderId="10" xfId="101" applyNumberFormat="1" applyFont="1" applyFill="1" applyBorder="1" applyAlignment="1">
      <alignment horizontal="center" vertical="center"/>
      <protection/>
    </xf>
    <xf numFmtId="3" fontId="60" fillId="24" borderId="10" xfId="101" applyNumberFormat="1" applyFont="1" applyFill="1" applyBorder="1" applyAlignment="1">
      <alignment horizontal="center" vertical="center"/>
      <protection/>
    </xf>
    <xf numFmtId="3" fontId="60" fillId="20" borderId="10" xfId="101" applyNumberFormat="1" applyFont="1" applyFill="1" applyBorder="1" applyAlignment="1">
      <alignment horizontal="center" vertical="center"/>
      <protection/>
    </xf>
    <xf numFmtId="0" fontId="11" fillId="0" borderId="10" xfId="101" applyFont="1" applyFill="1" applyBorder="1" applyAlignment="1">
      <alignment horizontal="center" vertical="center"/>
      <protection/>
    </xf>
    <xf numFmtId="4" fontId="11" fillId="20" borderId="10" xfId="101" applyNumberFormat="1" applyFont="1" applyFill="1" applyBorder="1" applyAlignment="1">
      <alignment horizontal="right" vertical="center"/>
      <protection/>
    </xf>
    <xf numFmtId="0" fontId="11" fillId="0" borderId="10" xfId="101" applyFont="1" applyFill="1" applyBorder="1" applyAlignment="1">
      <alignment horizontal="center" vertical="center" wrapText="1"/>
      <protection/>
    </xf>
    <xf numFmtId="4" fontId="12" fillId="20" borderId="10" xfId="101" applyNumberFormat="1" applyFont="1" applyFill="1" applyBorder="1" applyAlignment="1">
      <alignment horizontal="right"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101" applyFont="1" applyFill="1" applyBorder="1" applyAlignment="1">
      <alignment vertical="center" wrapText="1"/>
      <protection/>
    </xf>
    <xf numFmtId="0" fontId="61" fillId="0" borderId="10" xfId="101" applyFont="1" applyFill="1" applyBorder="1" applyAlignment="1">
      <alignment horizontal="center" vertical="center"/>
      <protection/>
    </xf>
    <xf numFmtId="0" fontId="61" fillId="0" borderId="10" xfId="101" applyFont="1" applyFill="1" applyBorder="1" applyAlignment="1">
      <alignment horizontal="left" vertical="center" wrapText="1"/>
      <protection/>
    </xf>
    <xf numFmtId="0" fontId="12" fillId="0" borderId="10" xfId="101" applyFont="1" applyFill="1" applyBorder="1" applyAlignment="1">
      <alignment horizontal="left" vertical="center"/>
      <protection/>
    </xf>
    <xf numFmtId="0" fontId="60" fillId="0" borderId="10" xfId="101" applyFont="1" applyFill="1" applyBorder="1" applyAlignment="1">
      <alignment horizontal="left" vertical="center" wrapText="1"/>
      <protection/>
    </xf>
    <xf numFmtId="49" fontId="12" fillId="0" borderId="10" xfId="101" applyNumberFormat="1" applyFont="1" applyFill="1" applyBorder="1" applyAlignment="1">
      <alignment horizontal="left" vertical="top" wrapText="1"/>
      <protection/>
    </xf>
    <xf numFmtId="0" fontId="11" fillId="0" borderId="10" xfId="102" applyFont="1" applyFill="1" applyBorder="1" applyAlignment="1">
      <alignment horizontal="center" vertical="center"/>
      <protection/>
    </xf>
    <xf numFmtId="0" fontId="12" fillId="0" borderId="10" xfId="102" applyFont="1" applyFill="1" applyBorder="1" applyAlignment="1">
      <alignment horizontal="center" vertical="center"/>
      <protection/>
    </xf>
    <xf numFmtId="0" fontId="12" fillId="0" borderId="10" xfId="102" applyFont="1" applyFill="1" applyBorder="1" applyAlignment="1">
      <alignment horizontal="left" vertical="top" wrapText="1"/>
      <protection/>
    </xf>
    <xf numFmtId="0" fontId="12" fillId="0" borderId="10" xfId="102" applyFont="1" applyFill="1" applyBorder="1" applyAlignment="1">
      <alignment horizontal="center"/>
      <protection/>
    </xf>
    <xf numFmtId="0" fontId="11" fillId="0" borderId="10" xfId="100" applyFont="1" applyFill="1" applyBorder="1" applyAlignment="1">
      <alignment horizontal="center" vertical="center" wrapText="1"/>
      <protection/>
    </xf>
    <xf numFmtId="0" fontId="12" fillId="0" borderId="10" xfId="100" applyFont="1" applyFill="1" applyBorder="1" applyAlignment="1">
      <alignment horizontal="center" vertical="center" wrapText="1"/>
      <protection/>
    </xf>
    <xf numFmtId="3" fontId="12" fillId="0" borderId="10" xfId="0" applyNumberFormat="1" applyFont="1" applyFill="1" applyBorder="1" applyAlignment="1">
      <alignment vertical="center"/>
    </xf>
    <xf numFmtId="3" fontId="12" fillId="20" borderId="10" xfId="0" applyNumberFormat="1" applyFont="1" applyFill="1" applyBorder="1" applyAlignment="1">
      <alignment vertical="center"/>
    </xf>
    <xf numFmtId="3" fontId="12" fillId="24" borderId="10" xfId="101" applyNumberFormat="1" applyFont="1" applyFill="1" applyBorder="1" applyAlignment="1">
      <alignment horizontal="right" vertical="center"/>
      <protection/>
    </xf>
    <xf numFmtId="0" fontId="12" fillId="0" borderId="0" xfId="101" applyFont="1" applyFill="1" applyBorder="1" applyAlignment="1">
      <alignment horizontal="center" vertical="center"/>
      <protection/>
    </xf>
    <xf numFmtId="0" fontId="12" fillId="0" borderId="0" xfId="100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12" fillId="0" borderId="0" xfId="101" applyFont="1" applyFill="1" applyBorder="1" applyAlignment="1">
      <alignment vertical="center" wrapText="1"/>
      <protection/>
    </xf>
    <xf numFmtId="0" fontId="12" fillId="24" borderId="10" xfId="101" applyFont="1" applyFill="1" applyBorder="1" applyAlignment="1">
      <alignment horizontal="center" vertical="center"/>
      <protection/>
    </xf>
    <xf numFmtId="0" fontId="12" fillId="24" borderId="10" xfId="101" applyFont="1" applyFill="1" applyBorder="1" applyAlignment="1">
      <alignment horizontal="left" vertical="center" wrapText="1"/>
      <protection/>
    </xf>
    <xf numFmtId="0" fontId="12" fillId="24" borderId="10" xfId="0" applyFont="1" applyFill="1" applyBorder="1" applyAlignment="1">
      <alignment horizontal="left" vertical="center" wrapText="1"/>
    </xf>
    <xf numFmtId="0" fontId="40" fillId="24" borderId="0" xfId="0" applyFont="1" applyFill="1" applyBorder="1" applyAlignment="1">
      <alignment horizontal="center" vertical="center"/>
    </xf>
    <xf numFmtId="4" fontId="40" fillId="24" borderId="0" xfId="0" applyNumberFormat="1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40" fillId="24" borderId="10" xfId="0" applyFont="1" applyFill="1" applyBorder="1" applyAlignment="1">
      <alignment horizontal="center" vertical="center"/>
    </xf>
    <xf numFmtId="4" fontId="62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 vertical="center"/>
    </xf>
    <xf numFmtId="0" fontId="12" fillId="24" borderId="10" xfId="10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right" vertical="center" wrapText="1"/>
    </xf>
    <xf numFmtId="4" fontId="64" fillId="0" borderId="10" xfId="0" applyNumberFormat="1" applyFont="1" applyFill="1" applyBorder="1" applyAlignment="1">
      <alignment horizontal="right"/>
    </xf>
    <xf numFmtId="4" fontId="12" fillId="24" borderId="10" xfId="89" applyNumberFormat="1" applyFont="1" applyFill="1" applyBorder="1" applyAlignment="1">
      <alignment horizontal="right"/>
      <protection/>
    </xf>
    <xf numFmtId="4" fontId="32" fillId="0" borderId="10" xfId="101" applyNumberFormat="1" applyFont="1" applyFill="1" applyBorder="1" applyAlignment="1">
      <alignment horizontal="right" vertical="center"/>
      <protection/>
    </xf>
    <xf numFmtId="4" fontId="32" fillId="0" borderId="10" xfId="0" applyNumberFormat="1" applyFont="1" applyFill="1" applyBorder="1" applyAlignment="1">
      <alignment horizontal="right"/>
    </xf>
    <xf numFmtId="4" fontId="32" fillId="24" borderId="10" xfId="0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/>
    </xf>
    <xf numFmtId="4" fontId="12" fillId="24" borderId="10" xfId="89" applyNumberFormat="1" applyFont="1" applyFill="1" applyBorder="1" applyAlignment="1">
      <alignment horizontal="right" vertical="center" wrapText="1"/>
      <protection/>
    </xf>
    <xf numFmtId="4" fontId="32" fillId="0" borderId="10" xfId="0" applyNumberFormat="1" applyFont="1" applyFill="1" applyBorder="1" applyAlignment="1">
      <alignment horizontal="right" vertical="center" wrapText="1"/>
    </xf>
    <xf numFmtId="4" fontId="32" fillId="24" borderId="10" xfId="0" applyNumberFormat="1" applyFont="1" applyFill="1" applyBorder="1" applyAlignment="1">
      <alignment horizontal="right" vertical="center" wrapText="1"/>
    </xf>
    <xf numFmtId="4" fontId="11" fillId="24" borderId="10" xfId="89" applyNumberFormat="1" applyFont="1" applyFill="1" applyBorder="1" applyAlignment="1">
      <alignment horizontal="right" vertical="center"/>
      <protection/>
    </xf>
    <xf numFmtId="4" fontId="64" fillId="0" borderId="10" xfId="0" applyNumberFormat="1" applyFont="1" applyFill="1" applyBorder="1" applyAlignment="1">
      <alignment horizontal="right" vertical="center"/>
    </xf>
    <xf numFmtId="4" fontId="64" fillId="24" borderId="10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/>
    </xf>
    <xf numFmtId="4" fontId="32" fillId="0" borderId="10" xfId="0" applyNumberFormat="1" applyFont="1" applyFill="1" applyBorder="1" applyAlignment="1">
      <alignment horizontal="right" vertical="center"/>
    </xf>
    <xf numFmtId="4" fontId="12" fillId="24" borderId="10" xfId="89" applyNumberFormat="1" applyFont="1" applyFill="1" applyBorder="1" applyAlignment="1">
      <alignment horizontal="right" vertical="center"/>
      <protection/>
    </xf>
    <xf numFmtId="4" fontId="32" fillId="24" borderId="10" xfId="0" applyNumberFormat="1" applyFont="1" applyFill="1" applyBorder="1" applyAlignment="1">
      <alignment horizontal="right" vertical="center"/>
    </xf>
    <xf numFmtId="4" fontId="32" fillId="24" borderId="10" xfId="89" applyNumberFormat="1" applyFont="1" applyFill="1" applyBorder="1" applyAlignment="1">
      <alignment horizontal="right" vertical="center"/>
      <protection/>
    </xf>
    <xf numFmtId="4" fontId="32" fillId="0" borderId="10" xfId="89" applyNumberFormat="1" applyFont="1" applyFill="1" applyBorder="1" applyAlignment="1">
      <alignment horizontal="right" vertical="center"/>
      <protection/>
    </xf>
    <xf numFmtId="4" fontId="32" fillId="0" borderId="10" xfId="101" applyNumberFormat="1" applyFont="1" applyFill="1" applyBorder="1" applyAlignment="1">
      <alignment horizontal="right"/>
      <protection/>
    </xf>
    <xf numFmtId="4" fontId="32" fillId="0" borderId="10" xfId="89" applyNumberFormat="1" applyFont="1" applyFill="1" applyBorder="1" applyAlignment="1">
      <alignment horizontal="right"/>
      <protection/>
    </xf>
    <xf numFmtId="4" fontId="32" fillId="24" borderId="10" xfId="89" applyNumberFormat="1" applyFont="1" applyFill="1" applyBorder="1" applyAlignment="1">
      <alignment horizontal="right"/>
      <protection/>
    </xf>
    <xf numFmtId="4" fontId="11" fillId="24" borderId="10" xfId="89" applyNumberFormat="1" applyFont="1" applyFill="1" applyBorder="1" applyAlignment="1">
      <alignment horizontal="right"/>
      <protection/>
    </xf>
    <xf numFmtId="190" fontId="32" fillId="0" borderId="10" xfId="89" applyNumberFormat="1" applyFont="1" applyFill="1" applyBorder="1" applyAlignment="1">
      <alignment vertical="center"/>
      <protection/>
    </xf>
    <xf numFmtId="0" fontId="65" fillId="0" borderId="10" xfId="89" applyFont="1" applyFill="1" applyBorder="1">
      <alignment/>
      <protection/>
    </xf>
    <xf numFmtId="190" fontId="32" fillId="0" borderId="10" xfId="89" applyNumberFormat="1" applyFont="1" applyFill="1" applyBorder="1">
      <alignment/>
      <protection/>
    </xf>
    <xf numFmtId="4" fontId="7" fillId="0" borderId="11" xfId="0" applyNumberFormat="1" applyFont="1" applyFill="1" applyBorder="1" applyAlignment="1">
      <alignment/>
    </xf>
    <xf numFmtId="0" fontId="0" fillId="0" borderId="0" xfId="99" applyFont="1" applyFill="1" applyBorder="1" applyAlignment="1">
      <alignment horizontal="center"/>
      <protection/>
    </xf>
    <xf numFmtId="0" fontId="2" fillId="0" borderId="10" xfId="102" applyFont="1" applyFill="1" applyBorder="1" applyAlignment="1">
      <alignment horizontal="center" vertical="center"/>
      <protection/>
    </xf>
    <xf numFmtId="0" fontId="0" fillId="0" borderId="12" xfId="10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50" fillId="0" borderId="0" xfId="0" applyFont="1" applyFill="1" applyAlignment="1">
      <alignment horizontal="center"/>
    </xf>
    <xf numFmtId="0" fontId="12" fillId="0" borderId="10" xfId="102" applyFont="1" applyFill="1" applyBorder="1" applyAlignment="1">
      <alignment horizontal="left" vertical="center" wrapText="1"/>
      <protection/>
    </xf>
    <xf numFmtId="0" fontId="0" fillId="0" borderId="11" xfId="101" applyFont="1" applyFill="1" applyBorder="1" applyAlignment="1">
      <alignment horizontal="center" vertical="center"/>
      <protection/>
    </xf>
    <xf numFmtId="0" fontId="41" fillId="0" borderId="0" xfId="99" applyFont="1" applyFill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2" fillId="0" borderId="10" xfId="101" applyFont="1" applyFill="1" applyBorder="1" applyAlignment="1">
      <alignment horizontal="left" vertical="center" wrapText="1"/>
      <protection/>
    </xf>
    <xf numFmtId="0" fontId="60" fillId="0" borderId="10" xfId="101" applyFont="1" applyFill="1" applyBorder="1" applyAlignment="1">
      <alignment horizontal="left" vertical="center" wrapText="1"/>
      <protection/>
    </xf>
    <xf numFmtId="0" fontId="11" fillId="0" borderId="10" xfId="101" applyFont="1" applyFill="1" applyBorder="1" applyAlignment="1">
      <alignment horizontal="left" vertical="center" wrapText="1"/>
      <protection/>
    </xf>
    <xf numFmtId="0" fontId="12" fillId="24" borderId="10" xfId="101" applyFont="1" applyFill="1" applyBorder="1" applyAlignment="1">
      <alignment horizontal="left" vertical="center" wrapText="1"/>
      <protection/>
    </xf>
    <xf numFmtId="0" fontId="60" fillId="0" borderId="10" xfId="101" applyFont="1" applyFill="1" applyBorder="1" applyAlignment="1">
      <alignment horizontal="center" vertical="center"/>
      <protection/>
    </xf>
    <xf numFmtId="0" fontId="12" fillId="0" borderId="10" xfId="101" applyFont="1" applyFill="1" applyBorder="1" applyAlignment="1">
      <alignment vertical="center"/>
      <protection/>
    </xf>
    <xf numFmtId="0" fontId="41" fillId="0" borderId="10" xfId="101" applyFont="1" applyFill="1" applyBorder="1" applyAlignment="1">
      <alignment horizontal="center" vertical="center" wrapText="1"/>
      <protection/>
    </xf>
    <xf numFmtId="0" fontId="12" fillId="0" borderId="14" xfId="101" applyFont="1" applyFill="1" applyBorder="1" applyAlignment="1">
      <alignment horizontal="center" vertical="center"/>
      <protection/>
    </xf>
    <xf numFmtId="0" fontId="12" fillId="0" borderId="15" xfId="101" applyFont="1" applyFill="1" applyBorder="1" applyAlignment="1">
      <alignment horizontal="center" vertical="center"/>
      <protection/>
    </xf>
    <xf numFmtId="0" fontId="12" fillId="0" borderId="10" xfId="101" applyFont="1" applyFill="1" applyBorder="1" applyAlignment="1">
      <alignment horizontal="center" vertical="center" wrapText="1"/>
      <protection/>
    </xf>
    <xf numFmtId="0" fontId="7" fillId="0" borderId="0" xfId="99" applyFont="1" applyFill="1" applyAlignment="1">
      <alignment horizontal="left" vertical="center"/>
      <protection/>
    </xf>
    <xf numFmtId="0" fontId="0" fillId="0" borderId="10" xfId="101" applyFont="1" applyFill="1" applyBorder="1" applyAlignment="1">
      <alignment horizontal="center" vertical="center" wrapText="1"/>
      <protection/>
    </xf>
    <xf numFmtId="0" fontId="8" fillId="0" borderId="0" xfId="101" applyFont="1" applyFill="1" applyBorder="1" applyAlignment="1">
      <alignment horizontal="center" vertical="center" wrapText="1"/>
      <protection/>
    </xf>
    <xf numFmtId="0" fontId="12" fillId="0" borderId="16" xfId="101" applyFont="1" applyFill="1" applyBorder="1" applyAlignment="1">
      <alignment horizontal="center" vertical="center" wrapText="1"/>
      <protection/>
    </xf>
    <xf numFmtId="0" fontId="12" fillId="0" borderId="14" xfId="101" applyFont="1" applyFill="1" applyBorder="1" applyAlignment="1">
      <alignment horizontal="center" vertical="center" wrapText="1"/>
      <protection/>
    </xf>
    <xf numFmtId="0" fontId="12" fillId="0" borderId="15" xfId="101" applyFont="1" applyFill="1" applyBorder="1" applyAlignment="1">
      <alignment horizontal="center" vertical="center" wrapText="1"/>
      <protection/>
    </xf>
    <xf numFmtId="0" fontId="0" fillId="0" borderId="10" xfId="101" applyFont="1" applyFill="1" applyBorder="1" applyAlignment="1">
      <alignment vertical="center"/>
      <protection/>
    </xf>
    <xf numFmtId="0" fontId="0" fillId="0" borderId="10" xfId="101" applyFont="1" applyFill="1" applyBorder="1" applyAlignment="1">
      <alignment vertical="center" wrapText="1"/>
      <protection/>
    </xf>
    <xf numFmtId="0" fontId="0" fillId="0" borderId="10" xfId="100" applyFont="1" applyFill="1" applyBorder="1" applyAlignment="1">
      <alignment horizontal="left" vertical="top" wrapText="1"/>
      <protection/>
    </xf>
    <xf numFmtId="0" fontId="12" fillId="0" borderId="10" xfId="101" applyFont="1" applyFill="1" applyBorder="1" applyAlignment="1">
      <alignment horizontal="left" vertical="center" wrapText="1"/>
      <protection/>
    </xf>
    <xf numFmtId="0" fontId="0" fillId="0" borderId="10" xfId="102" applyFont="1" applyFill="1" applyBorder="1" applyAlignment="1">
      <alignment horizontal="left" vertical="top" wrapText="1"/>
      <protection/>
    </xf>
    <xf numFmtId="0" fontId="6" fillId="0" borderId="10" xfId="101" applyFont="1" applyFill="1" applyBorder="1" applyAlignment="1">
      <alignment horizontal="left" vertical="center" wrapText="1"/>
      <protection/>
    </xf>
    <xf numFmtId="0" fontId="2" fillId="0" borderId="0" xfId="10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10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6" fillId="0" borderId="0" xfId="101" applyFont="1" applyFill="1" applyBorder="1" applyAlignment="1">
      <alignment horizontal="center" vertical="center" wrapText="1"/>
      <protection/>
    </xf>
    <xf numFmtId="0" fontId="2" fillId="0" borderId="0" xfId="10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0" fontId="0" fillId="0" borderId="10" xfId="101" applyFont="1" applyFill="1" applyBorder="1" applyAlignment="1">
      <alignment horizontal="center" vertical="center"/>
      <protection/>
    </xf>
    <xf numFmtId="0" fontId="0" fillId="0" borderId="10" xfId="102" applyFont="1" applyFill="1" applyBorder="1" applyAlignment="1">
      <alignment horizontal="left" vertical="center" wrapText="1"/>
      <protection/>
    </xf>
    <xf numFmtId="0" fontId="0" fillId="0" borderId="10" xfId="101" applyFont="1" applyFill="1" applyBorder="1" applyAlignment="1">
      <alignment horizontal="left" vertical="center" wrapText="1"/>
      <protection/>
    </xf>
    <xf numFmtId="0" fontId="0" fillId="24" borderId="10" xfId="101" applyFont="1" applyFill="1" applyBorder="1" applyAlignment="1">
      <alignment horizontal="left" vertical="center" wrapText="1"/>
      <protection/>
    </xf>
    <xf numFmtId="0" fontId="4" fillId="0" borderId="0" xfId="101" applyFont="1" applyFill="1" applyBorder="1" applyAlignment="1">
      <alignment horizontal="left" vertical="center" wrapText="1"/>
      <protection/>
    </xf>
    <xf numFmtId="0" fontId="2" fillId="0" borderId="10" xfId="101" applyFont="1" applyFill="1" applyBorder="1" applyAlignment="1">
      <alignment horizontal="left" vertical="center" wrapText="1"/>
      <protection/>
    </xf>
    <xf numFmtId="0" fontId="12" fillId="0" borderId="10" xfId="101" applyFont="1" applyFill="1" applyBorder="1" applyAlignment="1">
      <alignment horizontal="center" vertical="center"/>
      <protection/>
    </xf>
    <xf numFmtId="0" fontId="6" fillId="0" borderId="10" xfId="101" applyFont="1" applyFill="1" applyBorder="1" applyAlignment="1">
      <alignment horizontal="center" vertical="center"/>
      <protection/>
    </xf>
    <xf numFmtId="0" fontId="6" fillId="0" borderId="10" xfId="101" applyFont="1" applyFill="1" applyBorder="1" applyAlignment="1">
      <alignment horizontal="center" vertical="center" wrapText="1"/>
      <protection/>
    </xf>
    <xf numFmtId="0" fontId="12" fillId="0" borderId="16" xfId="101" applyFont="1" applyFill="1" applyBorder="1" applyAlignment="1">
      <alignment horizontal="center" vertical="center"/>
      <protection/>
    </xf>
    <xf numFmtId="4" fontId="12" fillId="0" borderId="10" xfId="99" applyNumberFormat="1" applyFont="1" applyFill="1" applyBorder="1" applyAlignment="1">
      <alignment horizontal="left" vertical="center" wrapText="1"/>
      <protection/>
    </xf>
    <xf numFmtId="4" fontId="11" fillId="0" borderId="10" xfId="99" applyNumberFormat="1" applyFont="1" applyFill="1" applyBorder="1" applyAlignment="1">
      <alignment horizontal="left" vertical="center" wrapText="1"/>
      <protection/>
    </xf>
    <xf numFmtId="0" fontId="0" fillId="0" borderId="10" xfId="99" applyFont="1" applyFill="1" applyBorder="1" applyAlignment="1">
      <alignment horizontal="left" vertical="top" wrapText="1"/>
      <protection/>
    </xf>
    <xf numFmtId="4" fontId="0" fillId="0" borderId="10" xfId="99" applyNumberFormat="1" applyFont="1" applyFill="1" applyBorder="1" applyAlignment="1">
      <alignment horizontal="left" vertical="center" wrapText="1"/>
      <protection/>
    </xf>
    <xf numFmtId="3" fontId="12" fillId="0" borderId="10" xfId="99" applyNumberFormat="1" applyFont="1" applyFill="1" applyBorder="1" applyAlignment="1">
      <alignment horizontal="center" vertical="center" wrapText="1"/>
      <protection/>
    </xf>
    <xf numFmtId="4" fontId="12" fillId="0" borderId="10" xfId="99" applyNumberFormat="1" applyFont="1" applyFill="1" applyBorder="1" applyAlignment="1">
      <alignment vertical="center" wrapText="1"/>
      <protection/>
    </xf>
    <xf numFmtId="0" fontId="33" fillId="0" borderId="0" xfId="99" applyFont="1" applyFill="1" applyBorder="1" applyAlignment="1">
      <alignment horizontal="center"/>
      <protection/>
    </xf>
    <xf numFmtId="0" fontId="32" fillId="0" borderId="0" xfId="99" applyFont="1" applyFill="1" applyAlignment="1">
      <alignment horizontal="left" vertical="center"/>
      <protection/>
    </xf>
    <xf numFmtId="3" fontId="10" fillId="0" borderId="10" xfId="99" applyNumberFormat="1" applyFont="1" applyFill="1" applyBorder="1" applyAlignment="1">
      <alignment horizontal="center" vertical="center" wrapText="1"/>
      <protection/>
    </xf>
    <xf numFmtId="4" fontId="0" fillId="0" borderId="10" xfId="99" applyNumberFormat="1" applyFont="1" applyFill="1" applyBorder="1" applyAlignment="1">
      <alignment vertical="center" wrapText="1"/>
      <protection/>
    </xf>
    <xf numFmtId="0" fontId="9" fillId="0" borderId="0" xfId="99" applyFont="1" applyFill="1" applyBorder="1" applyAlignment="1">
      <alignment horizontal="center" vertical="center" wrapText="1"/>
      <protection/>
    </xf>
    <xf numFmtId="4" fontId="0" fillId="0" borderId="10" xfId="99" applyNumberFormat="1" applyFont="1" applyFill="1" applyBorder="1" applyAlignment="1">
      <alignment horizontal="center" vertical="center" wrapText="1"/>
      <protection/>
    </xf>
    <xf numFmtId="3" fontId="0" fillId="0" borderId="10" xfId="99" applyNumberFormat="1" applyFont="1" applyFill="1" applyBorder="1" applyAlignment="1">
      <alignment horizontal="center" vertical="center" wrapText="1"/>
      <protection/>
    </xf>
    <xf numFmtId="0" fontId="0" fillId="0" borderId="10" xfId="99" applyFont="1" applyFill="1" applyBorder="1" applyAlignment="1">
      <alignment horizontal="center" vertical="center" wrapText="1"/>
      <protection/>
    </xf>
    <xf numFmtId="0" fontId="0" fillId="0" borderId="10" xfId="99" applyFont="1" applyFill="1" applyBorder="1" applyAlignment="1">
      <alignment horizontal="center" vertical="center"/>
      <protection/>
    </xf>
    <xf numFmtId="0" fontId="50" fillId="0" borderId="0" xfId="99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101" applyFont="1" applyFill="1" applyBorder="1" applyAlignment="1">
      <alignment horizontal="center" vertical="top" wrapText="1"/>
      <protection/>
    </xf>
    <xf numFmtId="0" fontId="56" fillId="0" borderId="0" xfId="0" applyFont="1" applyFill="1" applyAlignment="1">
      <alignment horizontal="center"/>
    </xf>
    <xf numFmtId="0" fontId="56" fillId="0" borderId="0" xfId="99" applyFont="1" applyFill="1" applyBorder="1" applyAlignment="1">
      <alignment horizontal="center"/>
      <protection/>
    </xf>
    <xf numFmtId="0" fontId="60" fillId="0" borderId="10" xfId="10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12" fillId="0" borderId="10" xfId="101" applyNumberFormat="1" applyFont="1" applyFill="1" applyBorder="1" applyAlignment="1">
      <alignment horizontal="center" vertical="center" wrapText="1"/>
      <protection/>
    </xf>
    <xf numFmtId="0" fontId="41" fillId="24" borderId="10" xfId="101" applyFont="1" applyFill="1" applyBorder="1" applyAlignment="1">
      <alignment horizontal="center" vertical="center" wrapText="1"/>
      <protection/>
    </xf>
    <xf numFmtId="0" fontId="41" fillId="20" borderId="10" xfId="101" applyFont="1" applyFill="1" applyBorder="1" applyAlignment="1">
      <alignment horizontal="center" vertical="center" wrapText="1"/>
      <protection/>
    </xf>
    <xf numFmtId="0" fontId="12" fillId="0" borderId="10" xfId="101" applyFont="1" applyFill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100" applyFont="1" applyFill="1" applyBorder="1" applyAlignment="1">
      <alignment horizontal="left" vertical="top" wrapText="1"/>
      <protection/>
    </xf>
    <xf numFmtId="0" fontId="12" fillId="0" borderId="10" xfId="102" applyFont="1" applyFill="1" applyBorder="1" applyAlignment="1">
      <alignment horizontal="left" vertical="top" wrapText="1"/>
      <protection/>
    </xf>
    <xf numFmtId="0" fontId="2" fillId="0" borderId="0" xfId="99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2" fillId="0" borderId="0" xfId="10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46" fillId="24" borderId="10" xfId="0" applyNumberFormat="1" applyFont="1" applyFill="1" applyBorder="1" applyAlignment="1">
      <alignment horizontal="center" vertical="center" wrapText="1"/>
    </xf>
    <xf numFmtId="3" fontId="46" fillId="24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46" fillId="24" borderId="10" xfId="0" applyFont="1" applyFill="1" applyBorder="1" applyAlignment="1">
      <alignment horizontal="center" vertical="center"/>
    </xf>
    <xf numFmtId="4" fontId="49" fillId="20" borderId="10" xfId="0" applyNumberFormat="1" applyFont="1" applyFill="1" applyBorder="1" applyAlignment="1">
      <alignment horizontal="left" vertical="center" wrapText="1"/>
    </xf>
    <xf numFmtId="0" fontId="52" fillId="0" borderId="0" xfId="89" applyFont="1" applyFill="1" applyAlignment="1">
      <alignment horizont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101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Followed 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 2 2" xfId="90"/>
    <cellStyle name="Normal 3" xfId="91"/>
    <cellStyle name="Normal 4" xfId="92"/>
    <cellStyle name="Normal 5" xfId="93"/>
    <cellStyle name="Normal 5 2" xfId="94"/>
    <cellStyle name="Normal 5 3" xfId="95"/>
    <cellStyle name="Normal 5 4" xfId="96"/>
    <cellStyle name="Normal 6" xfId="97"/>
    <cellStyle name="Normal 7" xfId="98"/>
    <cellStyle name="Normal_BVC sint. v.23.01.2013" xfId="99"/>
    <cellStyle name="Normal_BVC sint. v.23.01.2013 2" xfId="100"/>
    <cellStyle name="Normal_Copy of Copy of BVC analitic" xfId="101"/>
    <cellStyle name="Normal_Copy of Copy of BVC analitic 2" xfId="102"/>
    <cellStyle name="Note" xfId="103"/>
    <cellStyle name="Note 2" xfId="104"/>
    <cellStyle name="Note 3" xfId="105"/>
    <cellStyle name="Note 3 2" xfId="106"/>
    <cellStyle name="Note 3 3" xfId="107"/>
    <cellStyle name="Output" xfId="108"/>
    <cellStyle name="Output 2" xfId="109"/>
    <cellStyle name="Percent" xfId="110"/>
    <cellStyle name="Currency" xfId="111"/>
    <cellStyle name="Currency [0]" xfId="112"/>
    <cellStyle name="Title" xfId="113"/>
    <cellStyle name="Title 2" xfId="114"/>
    <cellStyle name="Total" xfId="115"/>
    <cellStyle name="Total 2" xfId="116"/>
    <cellStyle name="Comma" xfId="117"/>
    <cellStyle name="Comma [0]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F34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7109375" style="2" customWidth="1"/>
    <col min="2" max="2" width="3.421875" style="117" customWidth="1"/>
    <col min="3" max="3" width="3.57421875" style="3" customWidth="1"/>
    <col min="4" max="4" width="5.28125" style="2" customWidth="1"/>
    <col min="5" max="5" width="39.00390625" style="118" customWidth="1"/>
    <col min="6" max="6" width="5.00390625" style="119" customWidth="1"/>
    <col min="7" max="7" width="13.8515625" style="68" customWidth="1"/>
    <col min="8" max="8" width="15.140625" style="69" customWidth="1"/>
    <col min="9" max="24" width="9.140625" style="69" customWidth="1"/>
    <col min="25" max="106" width="9.140625" style="70" customWidth="1"/>
    <col min="107" max="16384" width="9.140625" style="68" customWidth="1"/>
  </cols>
  <sheetData>
    <row r="1" spans="1:7" ht="15">
      <c r="A1" s="62" t="s">
        <v>0</v>
      </c>
      <c r="B1" s="63"/>
      <c r="C1" s="64"/>
      <c r="D1" s="65"/>
      <c r="E1" s="66"/>
      <c r="F1" s="67"/>
      <c r="G1" s="461" t="s">
        <v>249</v>
      </c>
    </row>
    <row r="2" spans="1:7" ht="15">
      <c r="A2" s="517" t="s">
        <v>1</v>
      </c>
      <c r="B2" s="517"/>
      <c r="C2" s="517"/>
      <c r="D2" s="517"/>
      <c r="E2" s="517"/>
      <c r="F2" s="67"/>
      <c r="G2" s="72"/>
    </row>
    <row r="3" spans="1:7" ht="15">
      <c r="A3" s="73" t="s">
        <v>2</v>
      </c>
      <c r="B3" s="63"/>
      <c r="C3" s="64"/>
      <c r="D3" s="65"/>
      <c r="E3" s="66"/>
      <c r="F3" s="67"/>
      <c r="G3" s="74"/>
    </row>
    <row r="4" spans="1:7" ht="15">
      <c r="A4" s="73" t="s">
        <v>3</v>
      </c>
      <c r="B4" s="63"/>
      <c r="C4" s="64"/>
      <c r="D4" s="65"/>
      <c r="E4" s="66"/>
      <c r="F4" s="67"/>
      <c r="G4" s="75"/>
    </row>
    <row r="5" spans="1:7" ht="15">
      <c r="A5" s="73"/>
      <c r="B5" s="63"/>
      <c r="C5" s="64"/>
      <c r="D5" s="65"/>
      <c r="E5" s="66"/>
      <c r="F5" s="67"/>
      <c r="G5" s="75"/>
    </row>
    <row r="6" spans="1:7" ht="15">
      <c r="A6" s="76"/>
      <c r="B6" s="77"/>
      <c r="C6" s="78"/>
      <c r="D6" s="76"/>
      <c r="E6" s="79"/>
      <c r="F6" s="80"/>
      <c r="G6" s="71"/>
    </row>
    <row r="7" spans="1:7" ht="18" customHeight="1">
      <c r="A7" s="520" t="s">
        <v>560</v>
      </c>
      <c r="B7" s="520"/>
      <c r="C7" s="520"/>
      <c r="D7" s="520"/>
      <c r="E7" s="520"/>
      <c r="F7" s="520"/>
      <c r="G7" s="520"/>
    </row>
    <row r="8" spans="1:7" ht="15">
      <c r="A8" s="76"/>
      <c r="B8" s="77"/>
      <c r="C8" s="78"/>
      <c r="D8" s="76"/>
      <c r="E8" s="81"/>
      <c r="F8" s="80"/>
      <c r="G8" s="71"/>
    </row>
    <row r="9" spans="1:7" ht="15">
      <c r="A9" s="76"/>
      <c r="B9" s="77"/>
      <c r="C9" s="78"/>
      <c r="D9" s="76"/>
      <c r="E9" s="79"/>
      <c r="F9" s="80"/>
      <c r="G9" s="82" t="s">
        <v>250</v>
      </c>
    </row>
    <row r="10" spans="1:110" ht="15" customHeight="1">
      <c r="A10" s="513"/>
      <c r="B10" s="513"/>
      <c r="C10" s="513"/>
      <c r="D10" s="521" t="s">
        <v>5</v>
      </c>
      <c r="E10" s="521"/>
      <c r="F10" s="522" t="s">
        <v>6</v>
      </c>
      <c r="G10" s="523" t="s">
        <v>561</v>
      </c>
      <c r="H10" s="516" t="s">
        <v>252</v>
      </c>
      <c r="I10" s="516" t="s">
        <v>251</v>
      </c>
      <c r="J10" s="516"/>
      <c r="DC10" s="70"/>
      <c r="DD10" s="70"/>
      <c r="DE10" s="70"/>
      <c r="DF10" s="70"/>
    </row>
    <row r="11" spans="1:110" ht="61.5" customHeight="1">
      <c r="A11" s="513"/>
      <c r="B11" s="513"/>
      <c r="C11" s="513"/>
      <c r="D11" s="521"/>
      <c r="E11" s="521"/>
      <c r="F11" s="522"/>
      <c r="G11" s="524"/>
      <c r="H11" s="516"/>
      <c r="I11" s="69" t="s">
        <v>253</v>
      </c>
      <c r="J11" s="69" t="s">
        <v>254</v>
      </c>
      <c r="DC11" s="70"/>
      <c r="DD11" s="70"/>
      <c r="DE11" s="70"/>
      <c r="DF11" s="70"/>
    </row>
    <row r="12" spans="1:106" s="88" customFormat="1" ht="11.25">
      <c r="A12" s="85">
        <v>0</v>
      </c>
      <c r="B12" s="518">
        <v>1</v>
      </c>
      <c r="C12" s="518"/>
      <c r="D12" s="518">
        <v>2</v>
      </c>
      <c r="E12" s="518"/>
      <c r="F12" s="85">
        <v>3</v>
      </c>
      <c r="G12" s="85">
        <v>4</v>
      </c>
      <c r="H12" s="86">
        <v>9</v>
      </c>
      <c r="I12" s="86">
        <v>10</v>
      </c>
      <c r="J12" s="86">
        <v>11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</row>
    <row r="13" spans="1:106" s="94" customFormat="1" ht="13.5" customHeight="1">
      <c r="A13" s="89" t="s">
        <v>7</v>
      </c>
      <c r="B13" s="90"/>
      <c r="C13" s="91"/>
      <c r="D13" s="511" t="s">
        <v>255</v>
      </c>
      <c r="E13" s="511"/>
      <c r="F13" s="90">
        <v>1</v>
      </c>
      <c r="G13" s="9">
        <v>4212131.09</v>
      </c>
      <c r="H13" s="9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</row>
    <row r="14" spans="1:7" ht="15" customHeight="1">
      <c r="A14" s="513"/>
      <c r="B14" s="84">
        <v>1</v>
      </c>
      <c r="C14" s="95"/>
      <c r="D14" s="513" t="s">
        <v>256</v>
      </c>
      <c r="E14" s="513"/>
      <c r="F14" s="84">
        <v>2</v>
      </c>
      <c r="G14" s="10">
        <v>3901369.5</v>
      </c>
    </row>
    <row r="15" spans="1:7" ht="15" customHeight="1">
      <c r="A15" s="513"/>
      <c r="B15" s="84"/>
      <c r="C15" s="95"/>
      <c r="D15" s="83" t="s">
        <v>8</v>
      </c>
      <c r="E15" s="83" t="s">
        <v>257</v>
      </c>
      <c r="F15" s="84">
        <v>3</v>
      </c>
      <c r="G15" s="10"/>
    </row>
    <row r="16" spans="1:7" ht="15" customHeight="1">
      <c r="A16" s="513"/>
      <c r="B16" s="84"/>
      <c r="C16" s="95"/>
      <c r="D16" s="83" t="s">
        <v>20</v>
      </c>
      <c r="E16" s="83" t="s">
        <v>258</v>
      </c>
      <c r="F16" s="84">
        <v>4</v>
      </c>
      <c r="G16" s="10">
        <v>1220000</v>
      </c>
    </row>
    <row r="17" spans="1:7" ht="16.5" customHeight="1">
      <c r="A17" s="513"/>
      <c r="B17" s="84">
        <v>2</v>
      </c>
      <c r="C17" s="95"/>
      <c r="D17" s="513" t="s">
        <v>259</v>
      </c>
      <c r="E17" s="513"/>
      <c r="F17" s="84">
        <v>5</v>
      </c>
      <c r="G17" s="10">
        <v>310761.59</v>
      </c>
    </row>
    <row r="18" spans="1:7" ht="17.25" customHeight="1">
      <c r="A18" s="513"/>
      <c r="B18" s="84">
        <v>3</v>
      </c>
      <c r="C18" s="95"/>
      <c r="D18" s="513" t="s">
        <v>52</v>
      </c>
      <c r="E18" s="513"/>
      <c r="F18" s="84">
        <v>6</v>
      </c>
      <c r="G18" s="10">
        <v>0</v>
      </c>
    </row>
    <row r="19" spans="1:106" s="94" customFormat="1" ht="27" customHeight="1">
      <c r="A19" s="89" t="s">
        <v>53</v>
      </c>
      <c r="B19" s="90"/>
      <c r="C19" s="91"/>
      <c r="D19" s="511" t="s">
        <v>260</v>
      </c>
      <c r="E19" s="511"/>
      <c r="F19" s="90">
        <v>7</v>
      </c>
      <c r="G19" s="9">
        <v>4212131.09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</row>
    <row r="20" spans="1:106" s="100" customFormat="1" ht="15" customHeight="1">
      <c r="A20" s="510"/>
      <c r="B20" s="97">
        <v>1</v>
      </c>
      <c r="C20" s="98"/>
      <c r="D20" s="510" t="s">
        <v>261</v>
      </c>
      <c r="E20" s="510"/>
      <c r="F20" s="97">
        <v>8</v>
      </c>
      <c r="G20" s="10">
        <v>3904612.97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</row>
    <row r="21" spans="1:106" s="100" customFormat="1" ht="16.5" customHeight="1">
      <c r="A21" s="510"/>
      <c r="B21" s="514"/>
      <c r="C21" s="98" t="s">
        <v>262</v>
      </c>
      <c r="D21" s="510" t="s">
        <v>263</v>
      </c>
      <c r="E21" s="510"/>
      <c r="F21" s="97">
        <v>9</v>
      </c>
      <c r="G21" s="10">
        <v>1042198.56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</row>
    <row r="22" spans="1:106" s="100" customFormat="1" ht="24.75" customHeight="1">
      <c r="A22" s="510"/>
      <c r="B22" s="514"/>
      <c r="C22" s="98" t="s">
        <v>264</v>
      </c>
      <c r="D22" s="510" t="s">
        <v>265</v>
      </c>
      <c r="E22" s="510"/>
      <c r="F22" s="97">
        <v>10</v>
      </c>
      <c r="G22" s="10">
        <v>84903.68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</row>
    <row r="23" spans="1:106" s="100" customFormat="1" ht="17.25" customHeight="1">
      <c r="A23" s="510"/>
      <c r="B23" s="514"/>
      <c r="C23" s="98" t="s">
        <v>266</v>
      </c>
      <c r="D23" s="510" t="s">
        <v>267</v>
      </c>
      <c r="E23" s="510"/>
      <c r="F23" s="97">
        <v>11</v>
      </c>
      <c r="G23" s="10">
        <v>1011700.21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</row>
    <row r="24" spans="1:106" s="100" customFormat="1" ht="17.25" customHeight="1">
      <c r="A24" s="510"/>
      <c r="B24" s="514"/>
      <c r="C24" s="98"/>
      <c r="D24" s="83" t="s">
        <v>176</v>
      </c>
      <c r="E24" s="83" t="s">
        <v>268</v>
      </c>
      <c r="F24" s="97">
        <v>12</v>
      </c>
      <c r="G24" s="10">
        <v>833065.55</v>
      </c>
      <c r="H24" s="321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</row>
    <row r="25" spans="1:106" s="100" customFormat="1" ht="16.5" customHeight="1">
      <c r="A25" s="510"/>
      <c r="B25" s="514"/>
      <c r="C25" s="515"/>
      <c r="D25" s="96" t="s">
        <v>123</v>
      </c>
      <c r="E25" s="96" t="s">
        <v>269</v>
      </c>
      <c r="F25" s="97">
        <v>13</v>
      </c>
      <c r="G25" s="10">
        <v>745128.28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</row>
    <row r="26" spans="1:106" s="100" customFormat="1" ht="16.5" customHeight="1">
      <c r="A26" s="510"/>
      <c r="B26" s="514"/>
      <c r="C26" s="515"/>
      <c r="D26" s="96" t="s">
        <v>128</v>
      </c>
      <c r="E26" s="96" t="s">
        <v>270</v>
      </c>
      <c r="F26" s="97">
        <v>14</v>
      </c>
      <c r="G26" s="10">
        <v>87937.27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</row>
    <row r="27" spans="1:106" s="100" customFormat="1" ht="15.75" customHeight="1">
      <c r="A27" s="510"/>
      <c r="B27" s="514"/>
      <c r="C27" s="515"/>
      <c r="D27" s="96" t="s">
        <v>137</v>
      </c>
      <c r="E27" s="96" t="s">
        <v>271</v>
      </c>
      <c r="F27" s="97">
        <v>15</v>
      </c>
      <c r="G27" s="10">
        <v>0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</row>
    <row r="28" spans="1:106" s="100" customFormat="1" ht="29.25" customHeight="1">
      <c r="A28" s="510"/>
      <c r="B28" s="514"/>
      <c r="C28" s="515"/>
      <c r="D28" s="96"/>
      <c r="E28" s="96" t="s">
        <v>272</v>
      </c>
      <c r="F28" s="97">
        <v>16</v>
      </c>
      <c r="G28" s="1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</row>
    <row r="29" spans="1:106" s="100" customFormat="1" ht="37.5" customHeight="1">
      <c r="A29" s="510"/>
      <c r="B29" s="514"/>
      <c r="C29" s="515"/>
      <c r="D29" s="96" t="s">
        <v>141</v>
      </c>
      <c r="E29" s="96" t="s">
        <v>273</v>
      </c>
      <c r="F29" s="97">
        <v>17</v>
      </c>
      <c r="G29" s="10">
        <v>1015.5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</row>
    <row r="30" spans="1:106" s="100" customFormat="1" ht="33.75" customHeight="1">
      <c r="A30" s="510"/>
      <c r="B30" s="514"/>
      <c r="C30" s="515"/>
      <c r="D30" s="96" t="s">
        <v>144</v>
      </c>
      <c r="E30" s="96" t="s">
        <v>274</v>
      </c>
      <c r="F30" s="97">
        <v>18</v>
      </c>
      <c r="G30" s="10">
        <v>177619.16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</row>
    <row r="31" spans="1:106" s="100" customFormat="1" ht="15" customHeight="1">
      <c r="A31" s="510"/>
      <c r="B31" s="514"/>
      <c r="C31" s="98" t="s">
        <v>275</v>
      </c>
      <c r="D31" s="510" t="s">
        <v>276</v>
      </c>
      <c r="E31" s="510"/>
      <c r="F31" s="97">
        <v>19</v>
      </c>
      <c r="G31" s="10">
        <v>1765810.52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</row>
    <row r="32" spans="1:106" s="100" customFormat="1" ht="17.25" customHeight="1">
      <c r="A32" s="510"/>
      <c r="B32" s="97">
        <v>2</v>
      </c>
      <c r="C32" s="98"/>
      <c r="D32" s="510" t="s">
        <v>277</v>
      </c>
      <c r="E32" s="510"/>
      <c r="F32" s="97">
        <v>20</v>
      </c>
      <c r="G32" s="10">
        <v>307518.12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</row>
    <row r="33" spans="1:106" s="100" customFormat="1" ht="15.75" customHeight="1">
      <c r="A33" s="510"/>
      <c r="B33" s="97">
        <v>3</v>
      </c>
      <c r="C33" s="98"/>
      <c r="D33" s="510" t="s">
        <v>165</v>
      </c>
      <c r="E33" s="510"/>
      <c r="F33" s="97">
        <v>21</v>
      </c>
      <c r="G33" s="10">
        <v>0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</row>
    <row r="34" spans="1:106" s="94" customFormat="1" ht="15.75" customHeight="1">
      <c r="A34" s="89" t="s">
        <v>166</v>
      </c>
      <c r="B34" s="90"/>
      <c r="C34" s="91"/>
      <c r="D34" s="511" t="s">
        <v>278</v>
      </c>
      <c r="E34" s="511"/>
      <c r="F34" s="90">
        <v>22</v>
      </c>
      <c r="G34" s="9">
        <v>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</row>
    <row r="35" spans="1:106" s="94" customFormat="1" ht="15.75" customHeight="1">
      <c r="A35" s="89" t="s">
        <v>167</v>
      </c>
      <c r="B35" s="90"/>
      <c r="C35" s="91"/>
      <c r="D35" s="511" t="s">
        <v>168</v>
      </c>
      <c r="E35" s="511"/>
      <c r="F35" s="90">
        <v>23</v>
      </c>
      <c r="G35" s="9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</row>
    <row r="36" spans="1:106" s="103" customFormat="1" ht="38.25" customHeight="1">
      <c r="A36" s="89" t="s">
        <v>169</v>
      </c>
      <c r="B36" s="90"/>
      <c r="C36" s="91"/>
      <c r="D36" s="511" t="s">
        <v>279</v>
      </c>
      <c r="E36" s="511"/>
      <c r="F36" s="90">
        <v>24</v>
      </c>
      <c r="G36" s="9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</row>
    <row r="37" spans="1:106" s="100" customFormat="1" ht="15.75" customHeight="1">
      <c r="A37" s="510"/>
      <c r="B37" s="84">
        <v>1</v>
      </c>
      <c r="C37" s="95"/>
      <c r="D37" s="513" t="s">
        <v>280</v>
      </c>
      <c r="E37" s="513"/>
      <c r="F37" s="97">
        <v>25</v>
      </c>
      <c r="G37" s="1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</row>
    <row r="38" spans="1:106" s="100" customFormat="1" ht="27.75" customHeight="1">
      <c r="A38" s="510"/>
      <c r="B38" s="84">
        <v>2</v>
      </c>
      <c r="C38" s="95"/>
      <c r="D38" s="513" t="s">
        <v>281</v>
      </c>
      <c r="E38" s="513"/>
      <c r="F38" s="97">
        <v>26</v>
      </c>
      <c r="G38" s="1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</row>
    <row r="39" spans="1:106" s="100" customFormat="1" ht="15.75" customHeight="1">
      <c r="A39" s="510"/>
      <c r="B39" s="84">
        <v>3</v>
      </c>
      <c r="C39" s="95"/>
      <c r="D39" s="513" t="s">
        <v>282</v>
      </c>
      <c r="E39" s="513"/>
      <c r="F39" s="97">
        <v>27</v>
      </c>
      <c r="G39" s="1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</row>
    <row r="40" spans="1:106" s="100" customFormat="1" ht="78.75" customHeight="1">
      <c r="A40" s="510"/>
      <c r="B40" s="84">
        <v>4</v>
      </c>
      <c r="C40" s="95"/>
      <c r="D40" s="513" t="s">
        <v>283</v>
      </c>
      <c r="E40" s="519"/>
      <c r="F40" s="97">
        <v>28</v>
      </c>
      <c r="G40" s="1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</row>
    <row r="41" spans="1:106" s="100" customFormat="1" ht="20.25" customHeight="1">
      <c r="A41" s="510"/>
      <c r="B41" s="84">
        <v>5</v>
      </c>
      <c r="C41" s="95"/>
      <c r="D41" s="513" t="s">
        <v>284</v>
      </c>
      <c r="E41" s="513"/>
      <c r="F41" s="97">
        <v>29</v>
      </c>
      <c r="G41" s="1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</row>
    <row r="42" spans="1:106" s="100" customFormat="1" ht="27.75" customHeight="1">
      <c r="A42" s="510"/>
      <c r="B42" s="84">
        <v>6</v>
      </c>
      <c r="C42" s="95"/>
      <c r="D42" s="513" t="s">
        <v>285</v>
      </c>
      <c r="E42" s="513"/>
      <c r="F42" s="97">
        <v>30</v>
      </c>
      <c r="G42" s="1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</row>
    <row r="43" spans="1:106" s="100" customFormat="1" ht="56.25" customHeight="1">
      <c r="A43" s="510"/>
      <c r="B43" s="84">
        <v>8</v>
      </c>
      <c r="C43" s="95"/>
      <c r="D43" s="512" t="s">
        <v>286</v>
      </c>
      <c r="E43" s="512"/>
      <c r="F43" s="97">
        <v>31</v>
      </c>
      <c r="G43" s="1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</row>
    <row r="44" spans="1:106" s="100" customFormat="1" ht="65.25" customHeight="1">
      <c r="A44" s="510"/>
      <c r="B44" s="84">
        <v>8</v>
      </c>
      <c r="C44" s="95"/>
      <c r="D44" s="513" t="s">
        <v>287</v>
      </c>
      <c r="E44" s="513"/>
      <c r="F44" s="97">
        <v>32</v>
      </c>
      <c r="G44" s="1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</row>
    <row r="45" spans="1:106" s="106" customFormat="1" ht="20.25" customHeight="1">
      <c r="A45" s="510"/>
      <c r="B45" s="84"/>
      <c r="C45" s="95" t="s">
        <v>8</v>
      </c>
      <c r="D45" s="513" t="s">
        <v>288</v>
      </c>
      <c r="E45" s="513"/>
      <c r="F45" s="97">
        <v>33</v>
      </c>
      <c r="G45" s="10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</row>
    <row r="46" spans="1:106" s="106" customFormat="1" ht="24" customHeight="1">
      <c r="A46" s="510"/>
      <c r="B46" s="84"/>
      <c r="C46" s="95" t="s">
        <v>20</v>
      </c>
      <c r="D46" s="513" t="s">
        <v>289</v>
      </c>
      <c r="E46" s="513"/>
      <c r="F46" s="97" t="s">
        <v>290</v>
      </c>
      <c r="G46" s="10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</row>
    <row r="47" spans="1:106" s="100" customFormat="1" ht="18.75" customHeight="1">
      <c r="A47" s="510"/>
      <c r="B47" s="84"/>
      <c r="C47" s="95" t="s">
        <v>22</v>
      </c>
      <c r="D47" s="513" t="s">
        <v>291</v>
      </c>
      <c r="E47" s="513"/>
      <c r="F47" s="97">
        <v>34</v>
      </c>
      <c r="G47" s="1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</row>
    <row r="48" spans="1:106" s="100" customFormat="1" ht="42" customHeight="1">
      <c r="A48" s="510"/>
      <c r="B48" s="84">
        <v>9</v>
      </c>
      <c r="C48" s="95"/>
      <c r="D48" s="512" t="s">
        <v>292</v>
      </c>
      <c r="E48" s="512"/>
      <c r="F48" s="97">
        <v>35</v>
      </c>
      <c r="G48" s="1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</row>
    <row r="49" spans="1:106" s="94" customFormat="1" ht="20.25" customHeight="1">
      <c r="A49" s="89" t="s">
        <v>293</v>
      </c>
      <c r="B49" s="90"/>
      <c r="C49" s="91"/>
      <c r="D49" s="511" t="s">
        <v>294</v>
      </c>
      <c r="E49" s="511"/>
      <c r="F49" s="90">
        <v>36</v>
      </c>
      <c r="G49" s="10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</row>
    <row r="50" spans="1:106" s="94" customFormat="1" ht="29.25" customHeight="1">
      <c r="A50" s="89" t="s">
        <v>295</v>
      </c>
      <c r="B50" s="90"/>
      <c r="C50" s="91"/>
      <c r="D50" s="511" t="s">
        <v>296</v>
      </c>
      <c r="E50" s="511"/>
      <c r="F50" s="90">
        <v>37</v>
      </c>
      <c r="G50" s="10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</row>
    <row r="51" spans="1:106" s="100" customFormat="1" ht="15.75" customHeight="1">
      <c r="A51" s="96"/>
      <c r="B51" s="97"/>
      <c r="C51" s="98" t="s">
        <v>8</v>
      </c>
      <c r="D51" s="510" t="s">
        <v>297</v>
      </c>
      <c r="E51" s="510"/>
      <c r="F51" s="97">
        <v>38</v>
      </c>
      <c r="G51" s="1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</row>
    <row r="52" spans="1:106" s="100" customFormat="1" ht="15.75" customHeight="1">
      <c r="A52" s="96"/>
      <c r="B52" s="97"/>
      <c r="C52" s="98" t="s">
        <v>20</v>
      </c>
      <c r="D52" s="510" t="s">
        <v>298</v>
      </c>
      <c r="E52" s="510"/>
      <c r="F52" s="97">
        <v>39</v>
      </c>
      <c r="G52" s="10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</row>
    <row r="53" spans="1:106" s="100" customFormat="1" ht="15.75" customHeight="1">
      <c r="A53" s="96"/>
      <c r="B53" s="97"/>
      <c r="C53" s="98" t="s">
        <v>22</v>
      </c>
      <c r="D53" s="510" t="s">
        <v>299</v>
      </c>
      <c r="E53" s="510"/>
      <c r="F53" s="97">
        <v>40</v>
      </c>
      <c r="G53" s="10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</row>
    <row r="54" spans="1:106" s="100" customFormat="1" ht="15.75" customHeight="1">
      <c r="A54" s="96"/>
      <c r="B54" s="97"/>
      <c r="C54" s="98" t="s">
        <v>31</v>
      </c>
      <c r="D54" s="510" t="s">
        <v>300</v>
      </c>
      <c r="E54" s="510"/>
      <c r="F54" s="97">
        <v>41</v>
      </c>
      <c r="G54" s="10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</row>
    <row r="55" spans="1:106" s="100" customFormat="1" ht="15.75" customHeight="1">
      <c r="A55" s="96"/>
      <c r="B55" s="97"/>
      <c r="C55" s="98" t="s">
        <v>33</v>
      </c>
      <c r="D55" s="510" t="s">
        <v>117</v>
      </c>
      <c r="E55" s="510"/>
      <c r="F55" s="97">
        <v>42</v>
      </c>
      <c r="G55" s="10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</row>
    <row r="56" spans="1:106" s="94" customFormat="1" ht="28.5" customHeight="1">
      <c r="A56" s="89" t="s">
        <v>301</v>
      </c>
      <c r="B56" s="90"/>
      <c r="C56" s="91"/>
      <c r="D56" s="511" t="s">
        <v>302</v>
      </c>
      <c r="E56" s="511"/>
      <c r="F56" s="97">
        <v>43</v>
      </c>
      <c r="G56" s="9">
        <v>2508694.93</v>
      </c>
      <c r="H56" s="107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</row>
    <row r="57" spans="1:106" s="100" customFormat="1" ht="15.75" customHeight="1">
      <c r="A57" s="96"/>
      <c r="B57" s="97">
        <v>1</v>
      </c>
      <c r="C57" s="98"/>
      <c r="D57" s="510" t="s">
        <v>303</v>
      </c>
      <c r="E57" s="510"/>
      <c r="F57" s="97">
        <v>44</v>
      </c>
      <c r="G57" s="10">
        <v>135413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</row>
    <row r="58" spans="1:106" s="100" customFormat="1" ht="25.5" customHeight="1">
      <c r="A58" s="96"/>
      <c r="B58" s="97"/>
      <c r="C58" s="98"/>
      <c r="D58" s="96"/>
      <c r="E58" s="96" t="s">
        <v>304</v>
      </c>
      <c r="F58" s="97">
        <v>45</v>
      </c>
      <c r="G58" s="10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</row>
    <row r="59" spans="1:106" s="94" customFormat="1" ht="15.75" customHeight="1">
      <c r="A59" s="89" t="s">
        <v>305</v>
      </c>
      <c r="B59" s="90"/>
      <c r="C59" s="91"/>
      <c r="D59" s="511" t="s">
        <v>306</v>
      </c>
      <c r="E59" s="511"/>
      <c r="F59" s="97">
        <v>46</v>
      </c>
      <c r="G59" s="9">
        <v>2508081.93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</row>
    <row r="60" spans="1:106" s="94" customFormat="1" ht="17.25" customHeight="1">
      <c r="A60" s="89" t="s">
        <v>307</v>
      </c>
      <c r="B60" s="90"/>
      <c r="C60" s="91"/>
      <c r="D60" s="511" t="s">
        <v>170</v>
      </c>
      <c r="E60" s="511"/>
      <c r="F60" s="97">
        <v>47</v>
      </c>
      <c r="G60" s="9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</row>
    <row r="61" spans="1:106" s="100" customFormat="1" ht="18.75" customHeight="1">
      <c r="A61" s="510"/>
      <c r="B61" s="97">
        <v>1</v>
      </c>
      <c r="C61" s="98"/>
      <c r="D61" s="512" t="s">
        <v>171</v>
      </c>
      <c r="E61" s="512"/>
      <c r="F61" s="97">
        <v>48</v>
      </c>
      <c r="G61" s="44">
        <v>22256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</row>
    <row r="62" spans="1:106" s="100" customFormat="1" ht="15.75" customHeight="1">
      <c r="A62" s="510"/>
      <c r="B62" s="97">
        <v>2</v>
      </c>
      <c r="C62" s="98"/>
      <c r="D62" s="512" t="s">
        <v>308</v>
      </c>
      <c r="E62" s="512"/>
      <c r="F62" s="97">
        <v>49</v>
      </c>
      <c r="G62" s="44">
        <v>21790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</row>
    <row r="63" spans="1:106" s="100" customFormat="1" ht="31.5" customHeight="1">
      <c r="A63" s="510"/>
      <c r="B63" s="97">
        <v>4</v>
      </c>
      <c r="C63" s="98"/>
      <c r="D63" s="512" t="s">
        <v>503</v>
      </c>
      <c r="E63" s="512"/>
      <c r="F63" s="97">
        <v>50</v>
      </c>
      <c r="G63" s="10">
        <v>3043.2857579929637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</row>
    <row r="64" spans="1:106" s="100" customFormat="1" ht="42" customHeight="1">
      <c r="A64" s="510"/>
      <c r="B64" s="97">
        <v>5</v>
      </c>
      <c r="C64" s="98"/>
      <c r="D64" s="512" t="s">
        <v>309</v>
      </c>
      <c r="E64" s="512"/>
      <c r="F64" s="97">
        <v>51</v>
      </c>
      <c r="G64" s="10">
        <v>2849.6568762429247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</row>
    <row r="65" spans="1:106" s="100" customFormat="1" ht="30.75" customHeight="1">
      <c r="A65" s="510"/>
      <c r="B65" s="97">
        <v>6</v>
      </c>
      <c r="C65" s="98"/>
      <c r="D65" s="512" t="s">
        <v>488</v>
      </c>
      <c r="E65" s="512"/>
      <c r="F65" s="97">
        <v>52</v>
      </c>
      <c r="G65" s="10">
        <v>179.04403396053235</v>
      </c>
      <c r="H65" s="108"/>
      <c r="I65" s="10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</row>
    <row r="66" spans="1:106" s="100" customFormat="1" ht="30" customHeight="1">
      <c r="A66" s="510"/>
      <c r="B66" s="97">
        <v>7</v>
      </c>
      <c r="C66" s="98"/>
      <c r="D66" s="512" t="s">
        <v>310</v>
      </c>
      <c r="E66" s="512"/>
      <c r="F66" s="97">
        <v>53</v>
      </c>
      <c r="G66" s="255"/>
      <c r="H66" s="108"/>
      <c r="I66" s="109"/>
      <c r="J66" s="109"/>
      <c r="K66" s="109">
        <f>I65-I66</f>
        <v>0</v>
      </c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</row>
    <row r="67" spans="1:106" s="100" customFormat="1" ht="33.75" customHeight="1">
      <c r="A67" s="510"/>
      <c r="B67" s="97">
        <v>8</v>
      </c>
      <c r="C67" s="98"/>
      <c r="D67" s="512" t="s">
        <v>311</v>
      </c>
      <c r="E67" s="512"/>
      <c r="F67" s="97">
        <v>54</v>
      </c>
      <c r="G67" s="10">
        <v>1000</v>
      </c>
      <c r="H67" s="69"/>
      <c r="I67" s="69"/>
      <c r="J67" s="10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</row>
    <row r="68" spans="1:106" s="100" customFormat="1" ht="19.5" customHeight="1">
      <c r="A68" s="510"/>
      <c r="B68" s="97">
        <v>9</v>
      </c>
      <c r="C68" s="98"/>
      <c r="D68" s="512" t="s">
        <v>177</v>
      </c>
      <c r="E68" s="512"/>
      <c r="F68" s="97">
        <v>55</v>
      </c>
      <c r="G68" s="10">
        <v>235365</v>
      </c>
      <c r="H68" s="69"/>
      <c r="I68" s="69"/>
      <c r="J68" s="10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</row>
    <row r="69" spans="1:10" ht="19.5" customHeight="1">
      <c r="A69" s="510"/>
      <c r="B69" s="84">
        <v>10</v>
      </c>
      <c r="C69" s="95"/>
      <c r="D69" s="512" t="s">
        <v>312</v>
      </c>
      <c r="E69" s="512"/>
      <c r="F69" s="97">
        <v>56</v>
      </c>
      <c r="G69" s="10">
        <v>1142000</v>
      </c>
      <c r="J69" s="109"/>
    </row>
    <row r="70" spans="1:106" s="100" customFormat="1" ht="15.75" customHeight="1">
      <c r="A70" s="110"/>
      <c r="B70" s="111"/>
      <c r="C70" s="112"/>
      <c r="D70" s="110"/>
      <c r="E70" s="110"/>
      <c r="F70" s="111"/>
      <c r="G70" s="16"/>
      <c r="H70" s="69"/>
      <c r="I70" s="69"/>
      <c r="J70" s="10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</row>
    <row r="71" spans="1:7" ht="14.25">
      <c r="A71" s="113"/>
      <c r="B71" s="114"/>
      <c r="D71" s="113"/>
      <c r="E71" s="115"/>
      <c r="F71" s="116"/>
      <c r="G71" s="70"/>
    </row>
    <row r="72" spans="1:7" ht="14.25">
      <c r="A72" s="113"/>
      <c r="B72" s="114"/>
      <c r="D72" s="113"/>
      <c r="E72" s="115"/>
      <c r="F72" s="116"/>
      <c r="G72" s="70"/>
    </row>
    <row r="73" spans="1:7" ht="14.25">
      <c r="A73" s="113"/>
      <c r="B73" s="114"/>
      <c r="D73" s="113"/>
      <c r="E73" s="115"/>
      <c r="F73" s="116"/>
      <c r="G73" s="70"/>
    </row>
    <row r="74" spans="1:7" ht="14.25">
      <c r="A74" s="113"/>
      <c r="B74" s="114"/>
      <c r="D74" s="113"/>
      <c r="E74" s="115"/>
      <c r="F74" s="116"/>
      <c r="G74" s="70"/>
    </row>
    <row r="75" spans="1:7" ht="14.25">
      <c r="A75" s="113"/>
      <c r="B75" s="114"/>
      <c r="D75" s="113"/>
      <c r="E75" s="115"/>
      <c r="F75" s="116"/>
      <c r="G75" s="70"/>
    </row>
    <row r="76" spans="1:7" ht="14.25">
      <c r="A76" s="113"/>
      <c r="B76" s="114"/>
      <c r="D76" s="113"/>
      <c r="E76" s="115"/>
      <c r="F76" s="116"/>
      <c r="G76" s="70"/>
    </row>
    <row r="77" spans="1:7" ht="14.25">
      <c r="A77" s="113"/>
      <c r="B77" s="114"/>
      <c r="D77" s="113"/>
      <c r="E77" s="115"/>
      <c r="F77" s="116"/>
      <c r="G77" s="70"/>
    </row>
    <row r="78" spans="1:7" ht="14.25">
      <c r="A78" s="113"/>
      <c r="B78" s="114"/>
      <c r="D78" s="113"/>
      <c r="E78" s="115"/>
      <c r="F78" s="116"/>
      <c r="G78" s="70"/>
    </row>
    <row r="79" spans="1:7" ht="14.25">
      <c r="A79" s="113"/>
      <c r="B79" s="114"/>
      <c r="D79" s="113"/>
      <c r="E79" s="115"/>
      <c r="F79" s="116"/>
      <c r="G79" s="70"/>
    </row>
    <row r="80" spans="1:7" ht="14.25">
      <c r="A80" s="113"/>
      <c r="B80" s="114"/>
      <c r="D80" s="113"/>
      <c r="E80" s="115"/>
      <c r="F80" s="116"/>
      <c r="G80" s="70"/>
    </row>
    <row r="81" spans="1:7" ht="14.25">
      <c r="A81" s="113"/>
      <c r="B81" s="114"/>
      <c r="D81" s="113"/>
      <c r="E81" s="115"/>
      <c r="F81" s="116"/>
      <c r="G81" s="70"/>
    </row>
    <row r="82" spans="1:7" ht="14.25">
      <c r="A82" s="113"/>
      <c r="B82" s="114"/>
      <c r="D82" s="113"/>
      <c r="E82" s="115"/>
      <c r="F82" s="116"/>
      <c r="G82" s="70"/>
    </row>
    <row r="83" spans="1:7" ht="14.25">
      <c r="A83" s="113"/>
      <c r="B83" s="114"/>
      <c r="D83" s="113"/>
      <c r="E83" s="115"/>
      <c r="F83" s="116"/>
      <c r="G83" s="70"/>
    </row>
    <row r="84" spans="1:7" ht="14.25">
      <c r="A84" s="113"/>
      <c r="B84" s="114"/>
      <c r="D84" s="113"/>
      <c r="E84" s="115"/>
      <c r="F84" s="116"/>
      <c r="G84" s="70"/>
    </row>
    <row r="85" spans="1:7" ht="14.25">
      <c r="A85" s="113"/>
      <c r="B85" s="114"/>
      <c r="D85" s="113"/>
      <c r="E85" s="115"/>
      <c r="F85" s="116"/>
      <c r="G85" s="70"/>
    </row>
    <row r="86" spans="1:7" ht="14.25">
      <c r="A86" s="113"/>
      <c r="B86" s="114"/>
      <c r="D86" s="113"/>
      <c r="E86" s="115"/>
      <c r="F86" s="116"/>
      <c r="G86" s="70"/>
    </row>
    <row r="87" spans="1:7" ht="14.25">
      <c r="A87" s="113"/>
      <c r="B87" s="114"/>
      <c r="D87" s="113"/>
      <c r="E87" s="115"/>
      <c r="F87" s="116"/>
      <c r="G87" s="70"/>
    </row>
    <row r="88" spans="1:7" ht="14.25">
      <c r="A88" s="113"/>
      <c r="B88" s="114"/>
      <c r="D88" s="113"/>
      <c r="E88" s="115"/>
      <c r="F88" s="116"/>
      <c r="G88" s="70"/>
    </row>
    <row r="89" spans="1:7" ht="14.25">
      <c r="A89" s="113"/>
      <c r="B89" s="114"/>
      <c r="D89" s="113"/>
      <c r="E89" s="115"/>
      <c r="F89" s="116"/>
      <c r="G89" s="70"/>
    </row>
    <row r="90" spans="1:7" ht="14.25">
      <c r="A90" s="113"/>
      <c r="B90" s="114"/>
      <c r="D90" s="113"/>
      <c r="E90" s="115"/>
      <c r="F90" s="116"/>
      <c r="G90" s="70"/>
    </row>
    <row r="91" spans="1:7" ht="14.25">
      <c r="A91" s="113"/>
      <c r="B91" s="114"/>
      <c r="D91" s="113"/>
      <c r="E91" s="115"/>
      <c r="F91" s="116"/>
      <c r="G91" s="70"/>
    </row>
    <row r="92" spans="1:7" ht="14.25">
      <c r="A92" s="113"/>
      <c r="B92" s="114"/>
      <c r="D92" s="113"/>
      <c r="E92" s="115"/>
      <c r="F92" s="116"/>
      <c r="G92" s="70"/>
    </row>
    <row r="93" spans="1:7" ht="14.25">
      <c r="A93" s="113"/>
      <c r="B93" s="114"/>
      <c r="D93" s="113"/>
      <c r="E93" s="115"/>
      <c r="F93" s="116"/>
      <c r="G93" s="70"/>
    </row>
    <row r="94" spans="1:7" ht="14.25">
      <c r="A94" s="113"/>
      <c r="B94" s="114"/>
      <c r="D94" s="113"/>
      <c r="E94" s="115"/>
      <c r="F94" s="116"/>
      <c r="G94" s="70"/>
    </row>
    <row r="95" spans="1:7" ht="14.25">
      <c r="A95" s="113"/>
      <c r="B95" s="114"/>
      <c r="D95" s="113"/>
      <c r="E95" s="115"/>
      <c r="F95" s="116"/>
      <c r="G95" s="70"/>
    </row>
    <row r="96" spans="1:7" ht="14.25">
      <c r="A96" s="113"/>
      <c r="B96" s="114"/>
      <c r="D96" s="113"/>
      <c r="E96" s="115"/>
      <c r="F96" s="116"/>
      <c r="G96" s="70"/>
    </row>
    <row r="97" spans="1:7" ht="14.25">
      <c r="A97" s="113"/>
      <c r="B97" s="114"/>
      <c r="D97" s="113"/>
      <c r="E97" s="115"/>
      <c r="F97" s="116"/>
      <c r="G97" s="70"/>
    </row>
    <row r="98" spans="1:7" ht="14.25">
      <c r="A98" s="113"/>
      <c r="B98" s="114"/>
      <c r="D98" s="113"/>
      <c r="E98" s="115"/>
      <c r="F98" s="116"/>
      <c r="G98" s="70"/>
    </row>
    <row r="99" spans="1:7" ht="14.25">
      <c r="A99" s="113"/>
      <c r="B99" s="114"/>
      <c r="D99" s="113"/>
      <c r="E99" s="115"/>
      <c r="F99" s="116"/>
      <c r="G99" s="70"/>
    </row>
    <row r="100" spans="1:7" ht="14.25">
      <c r="A100" s="113"/>
      <c r="B100" s="114"/>
      <c r="D100" s="113"/>
      <c r="E100" s="115"/>
      <c r="F100" s="116"/>
      <c r="G100" s="70"/>
    </row>
    <row r="101" spans="1:7" ht="14.25">
      <c r="A101" s="113"/>
      <c r="B101" s="114"/>
      <c r="D101" s="113"/>
      <c r="E101" s="115"/>
      <c r="F101" s="116"/>
      <c r="G101" s="70"/>
    </row>
    <row r="102" spans="1:7" ht="14.25">
      <c r="A102" s="113"/>
      <c r="B102" s="114"/>
      <c r="D102" s="113"/>
      <c r="E102" s="115"/>
      <c r="F102" s="116"/>
      <c r="G102" s="70"/>
    </row>
    <row r="103" spans="1:7" ht="14.25">
      <c r="A103" s="113"/>
      <c r="B103" s="114"/>
      <c r="D103" s="113"/>
      <c r="E103" s="115"/>
      <c r="F103" s="116"/>
      <c r="G103" s="70"/>
    </row>
    <row r="104" spans="1:7" ht="14.25">
      <c r="A104" s="113"/>
      <c r="B104" s="114"/>
      <c r="D104" s="113"/>
      <c r="E104" s="115"/>
      <c r="F104" s="116"/>
      <c r="G104" s="70"/>
    </row>
    <row r="105" spans="1:7" ht="14.25">
      <c r="A105" s="113"/>
      <c r="B105" s="114"/>
      <c r="D105" s="113"/>
      <c r="E105" s="115"/>
      <c r="F105" s="116"/>
      <c r="G105" s="70"/>
    </row>
    <row r="106" spans="1:7" ht="14.25">
      <c r="A106" s="113"/>
      <c r="B106" s="114"/>
      <c r="D106" s="113"/>
      <c r="E106" s="115"/>
      <c r="F106" s="116"/>
      <c r="G106" s="70"/>
    </row>
    <row r="107" spans="1:7" ht="14.25">
      <c r="A107" s="113"/>
      <c r="B107" s="114"/>
      <c r="D107" s="113"/>
      <c r="E107" s="115"/>
      <c r="F107" s="116"/>
      <c r="G107" s="70"/>
    </row>
    <row r="108" spans="1:7" ht="14.25">
      <c r="A108" s="113"/>
      <c r="B108" s="114"/>
      <c r="D108" s="113"/>
      <c r="E108" s="115"/>
      <c r="F108" s="116"/>
      <c r="G108" s="70"/>
    </row>
    <row r="109" spans="1:7" ht="14.25">
      <c r="A109" s="113"/>
      <c r="B109" s="114"/>
      <c r="D109" s="113"/>
      <c r="E109" s="115"/>
      <c r="F109" s="116"/>
      <c r="G109" s="70"/>
    </row>
    <row r="110" spans="1:7" ht="14.25">
      <c r="A110" s="113"/>
      <c r="B110" s="114"/>
      <c r="D110" s="113"/>
      <c r="E110" s="115"/>
      <c r="F110" s="116"/>
      <c r="G110" s="70"/>
    </row>
    <row r="111" spans="1:7" ht="14.25">
      <c r="A111" s="113"/>
      <c r="B111" s="114"/>
      <c r="D111" s="113"/>
      <c r="E111" s="115"/>
      <c r="F111" s="116"/>
      <c r="G111" s="70"/>
    </row>
    <row r="112" spans="1:7" ht="14.25">
      <c r="A112" s="113"/>
      <c r="B112" s="114"/>
      <c r="D112" s="113"/>
      <c r="E112" s="115"/>
      <c r="F112" s="116"/>
      <c r="G112" s="70"/>
    </row>
    <row r="113" spans="1:7" ht="14.25">
      <c r="A113" s="113"/>
      <c r="B113" s="114"/>
      <c r="D113" s="113"/>
      <c r="E113" s="115"/>
      <c r="F113" s="116"/>
      <c r="G113" s="70"/>
    </row>
    <row r="114" spans="1:7" ht="14.25">
      <c r="A114" s="113"/>
      <c r="B114" s="114"/>
      <c r="D114" s="113"/>
      <c r="E114" s="115"/>
      <c r="F114" s="116"/>
      <c r="G114" s="70"/>
    </row>
    <row r="115" spans="1:7" ht="14.25">
      <c r="A115" s="113"/>
      <c r="B115" s="114"/>
      <c r="D115" s="113"/>
      <c r="E115" s="115"/>
      <c r="F115" s="116"/>
      <c r="G115" s="70"/>
    </row>
    <row r="116" spans="1:7" ht="14.25">
      <c r="A116" s="113"/>
      <c r="B116" s="114"/>
      <c r="D116" s="113"/>
      <c r="E116" s="115"/>
      <c r="F116" s="116"/>
      <c r="G116" s="70"/>
    </row>
    <row r="117" spans="1:7" ht="14.25">
      <c r="A117" s="113"/>
      <c r="B117" s="114"/>
      <c r="D117" s="113"/>
      <c r="E117" s="115"/>
      <c r="F117" s="116"/>
      <c r="G117" s="70"/>
    </row>
    <row r="118" spans="1:7" ht="14.25">
      <c r="A118" s="113"/>
      <c r="B118" s="114"/>
      <c r="D118" s="113"/>
      <c r="E118" s="115"/>
      <c r="F118" s="116"/>
      <c r="G118" s="70"/>
    </row>
    <row r="119" spans="1:7" ht="14.25">
      <c r="A119" s="113"/>
      <c r="B119" s="114"/>
      <c r="D119" s="113"/>
      <c r="E119" s="115"/>
      <c r="F119" s="116"/>
      <c r="G119" s="70"/>
    </row>
    <row r="120" spans="1:7" ht="14.25">
      <c r="A120" s="113"/>
      <c r="B120" s="114"/>
      <c r="D120" s="113"/>
      <c r="E120" s="115"/>
      <c r="F120" s="116"/>
      <c r="G120" s="70"/>
    </row>
    <row r="121" spans="1:7" ht="14.25">
      <c r="A121" s="113"/>
      <c r="B121" s="114"/>
      <c r="D121" s="113"/>
      <c r="E121" s="115"/>
      <c r="F121" s="116"/>
      <c r="G121" s="70"/>
    </row>
    <row r="122" spans="1:7" ht="14.25">
      <c r="A122" s="113"/>
      <c r="B122" s="114"/>
      <c r="D122" s="113"/>
      <c r="E122" s="115"/>
      <c r="F122" s="116"/>
      <c r="G122" s="70"/>
    </row>
    <row r="123" spans="1:7" ht="14.25">
      <c r="A123" s="113"/>
      <c r="B123" s="114"/>
      <c r="D123" s="113"/>
      <c r="E123" s="115"/>
      <c r="F123" s="116"/>
      <c r="G123" s="70"/>
    </row>
    <row r="124" spans="1:7" ht="14.25">
      <c r="A124" s="113"/>
      <c r="B124" s="114"/>
      <c r="D124" s="113"/>
      <c r="E124" s="115"/>
      <c r="F124" s="116"/>
      <c r="G124" s="70"/>
    </row>
    <row r="125" spans="1:7" ht="14.25">
      <c r="A125" s="113"/>
      <c r="B125" s="114"/>
      <c r="D125" s="113"/>
      <c r="E125" s="115"/>
      <c r="F125" s="116"/>
      <c r="G125" s="70"/>
    </row>
    <row r="126" spans="1:7" ht="14.25">
      <c r="A126" s="113"/>
      <c r="B126" s="114"/>
      <c r="D126" s="113"/>
      <c r="E126" s="115"/>
      <c r="F126" s="116"/>
      <c r="G126" s="70"/>
    </row>
    <row r="127" spans="1:7" ht="14.25">
      <c r="A127" s="113"/>
      <c r="B127" s="114"/>
      <c r="D127" s="113"/>
      <c r="E127" s="115"/>
      <c r="F127" s="116"/>
      <c r="G127" s="70"/>
    </row>
    <row r="128" spans="1:7" ht="14.25">
      <c r="A128" s="113"/>
      <c r="B128" s="114"/>
      <c r="D128" s="113"/>
      <c r="E128" s="115"/>
      <c r="F128" s="116"/>
      <c r="G128" s="70"/>
    </row>
    <row r="129" spans="1:7" ht="14.25">
      <c r="A129" s="113"/>
      <c r="B129" s="114"/>
      <c r="D129" s="113"/>
      <c r="E129" s="115"/>
      <c r="F129" s="116"/>
      <c r="G129" s="70"/>
    </row>
    <row r="130" spans="1:7" ht="14.25">
      <c r="A130" s="113"/>
      <c r="B130" s="114"/>
      <c r="D130" s="113"/>
      <c r="E130" s="115"/>
      <c r="F130" s="116"/>
      <c r="G130" s="70"/>
    </row>
    <row r="131" spans="1:7" ht="14.25">
      <c r="A131" s="113"/>
      <c r="B131" s="114"/>
      <c r="D131" s="113"/>
      <c r="E131" s="115"/>
      <c r="F131" s="116"/>
      <c r="G131" s="70"/>
    </row>
    <row r="132" spans="1:7" ht="14.25">
      <c r="A132" s="113"/>
      <c r="B132" s="114"/>
      <c r="D132" s="113"/>
      <c r="E132" s="115"/>
      <c r="F132" s="116"/>
      <c r="G132" s="70"/>
    </row>
    <row r="133" spans="1:7" ht="14.25">
      <c r="A133" s="113"/>
      <c r="B133" s="114"/>
      <c r="D133" s="113"/>
      <c r="E133" s="115"/>
      <c r="F133" s="116"/>
      <c r="G133" s="70"/>
    </row>
    <row r="134" spans="1:7" ht="14.25">
      <c r="A134" s="113"/>
      <c r="B134" s="114"/>
      <c r="D134" s="113"/>
      <c r="E134" s="115"/>
      <c r="F134" s="116"/>
      <c r="G134" s="70"/>
    </row>
    <row r="135" spans="1:7" ht="14.25">
      <c r="A135" s="113"/>
      <c r="B135" s="114"/>
      <c r="D135" s="113"/>
      <c r="E135" s="115"/>
      <c r="F135" s="116"/>
      <c r="G135" s="70"/>
    </row>
    <row r="136" spans="1:7" ht="14.25">
      <c r="A136" s="113"/>
      <c r="B136" s="114"/>
      <c r="D136" s="113"/>
      <c r="E136" s="115"/>
      <c r="F136" s="116"/>
      <c r="G136" s="70"/>
    </row>
    <row r="137" spans="1:7" ht="14.25">
      <c r="A137" s="113"/>
      <c r="B137" s="114"/>
      <c r="D137" s="113"/>
      <c r="E137" s="115"/>
      <c r="F137" s="116"/>
      <c r="G137" s="70"/>
    </row>
    <row r="138" spans="1:7" ht="14.25">
      <c r="A138" s="113"/>
      <c r="B138" s="114"/>
      <c r="D138" s="113"/>
      <c r="E138" s="115"/>
      <c r="F138" s="116"/>
      <c r="G138" s="70"/>
    </row>
    <row r="139" spans="1:7" ht="14.25">
      <c r="A139" s="113"/>
      <c r="B139" s="114"/>
      <c r="D139" s="113"/>
      <c r="E139" s="115"/>
      <c r="F139" s="116"/>
      <c r="G139" s="70"/>
    </row>
    <row r="140" spans="1:7" ht="14.25">
      <c r="A140" s="113"/>
      <c r="B140" s="114"/>
      <c r="D140" s="113"/>
      <c r="E140" s="115"/>
      <c r="F140" s="116"/>
      <c r="G140" s="70"/>
    </row>
    <row r="141" spans="1:7" ht="14.25">
      <c r="A141" s="113"/>
      <c r="B141" s="114"/>
      <c r="D141" s="113"/>
      <c r="E141" s="115"/>
      <c r="F141" s="116"/>
      <c r="G141" s="70"/>
    </row>
    <row r="142" spans="1:7" ht="14.25">
      <c r="A142" s="113"/>
      <c r="B142" s="114"/>
      <c r="D142" s="113"/>
      <c r="E142" s="115"/>
      <c r="F142" s="116"/>
      <c r="G142" s="70"/>
    </row>
    <row r="143" spans="1:7" ht="14.25">
      <c r="A143" s="113"/>
      <c r="B143" s="114"/>
      <c r="D143" s="113"/>
      <c r="E143" s="115"/>
      <c r="F143" s="116"/>
      <c r="G143" s="70"/>
    </row>
    <row r="144" spans="1:7" ht="14.25">
      <c r="A144" s="113"/>
      <c r="B144" s="114"/>
      <c r="D144" s="113"/>
      <c r="E144" s="115"/>
      <c r="F144" s="116"/>
      <c r="G144" s="70"/>
    </row>
    <row r="145" spans="1:7" ht="14.25">
      <c r="A145" s="113"/>
      <c r="B145" s="114"/>
      <c r="D145" s="113"/>
      <c r="E145" s="115"/>
      <c r="F145" s="116"/>
      <c r="G145" s="70"/>
    </row>
    <row r="146" spans="1:7" ht="14.25">
      <c r="A146" s="113"/>
      <c r="B146" s="114"/>
      <c r="D146" s="113"/>
      <c r="E146" s="115"/>
      <c r="F146" s="116"/>
      <c r="G146" s="70"/>
    </row>
    <row r="147" spans="1:7" ht="14.25">
      <c r="A147" s="113"/>
      <c r="B147" s="114"/>
      <c r="D147" s="113"/>
      <c r="E147" s="115"/>
      <c r="F147" s="116"/>
      <c r="G147" s="70"/>
    </row>
    <row r="148" spans="1:7" ht="14.25">
      <c r="A148" s="113"/>
      <c r="B148" s="114"/>
      <c r="D148" s="113"/>
      <c r="E148" s="115"/>
      <c r="F148" s="116"/>
      <c r="G148" s="70"/>
    </row>
    <row r="149" spans="1:7" ht="14.25">
      <c r="A149" s="113"/>
      <c r="B149" s="114"/>
      <c r="D149" s="113"/>
      <c r="E149" s="115"/>
      <c r="F149" s="116"/>
      <c r="G149" s="70"/>
    </row>
    <row r="150" spans="1:7" ht="14.25">
      <c r="A150" s="113"/>
      <c r="B150" s="114"/>
      <c r="D150" s="113"/>
      <c r="E150" s="115"/>
      <c r="F150" s="116"/>
      <c r="G150" s="70"/>
    </row>
    <row r="151" spans="1:7" ht="14.25">
      <c r="A151" s="113"/>
      <c r="B151" s="114"/>
      <c r="D151" s="113"/>
      <c r="E151" s="115"/>
      <c r="F151" s="116"/>
      <c r="G151" s="70"/>
    </row>
    <row r="152" spans="1:7" ht="14.25">
      <c r="A152" s="113"/>
      <c r="B152" s="114"/>
      <c r="D152" s="113"/>
      <c r="E152" s="115"/>
      <c r="F152" s="116"/>
      <c r="G152" s="70"/>
    </row>
    <row r="153" spans="1:7" ht="14.25">
      <c r="A153" s="113"/>
      <c r="B153" s="114"/>
      <c r="D153" s="113"/>
      <c r="E153" s="115"/>
      <c r="F153" s="116"/>
      <c r="G153" s="70"/>
    </row>
    <row r="154" spans="1:7" ht="14.25">
      <c r="A154" s="113"/>
      <c r="B154" s="114"/>
      <c r="D154" s="113"/>
      <c r="E154" s="115"/>
      <c r="F154" s="116"/>
      <c r="G154" s="70"/>
    </row>
    <row r="155" spans="1:7" ht="14.25">
      <c r="A155" s="113"/>
      <c r="B155" s="114"/>
      <c r="D155" s="113"/>
      <c r="E155" s="115"/>
      <c r="F155" s="116"/>
      <c r="G155" s="70"/>
    </row>
    <row r="156" spans="1:7" ht="14.25">
      <c r="A156" s="113"/>
      <c r="B156" s="114"/>
      <c r="D156" s="113"/>
      <c r="E156" s="115"/>
      <c r="F156" s="116"/>
      <c r="G156" s="70"/>
    </row>
    <row r="157" spans="1:7" ht="14.25">
      <c r="A157" s="113"/>
      <c r="B157" s="114"/>
      <c r="D157" s="113"/>
      <c r="E157" s="115"/>
      <c r="F157" s="116"/>
      <c r="G157" s="70"/>
    </row>
    <row r="158" spans="1:7" ht="14.25">
      <c r="A158" s="113"/>
      <c r="B158" s="114"/>
      <c r="D158" s="113"/>
      <c r="E158" s="115"/>
      <c r="F158" s="116"/>
      <c r="G158" s="70"/>
    </row>
    <row r="159" spans="1:7" ht="14.25">
      <c r="A159" s="113"/>
      <c r="B159" s="114"/>
      <c r="D159" s="113"/>
      <c r="E159" s="115"/>
      <c r="F159" s="116"/>
      <c r="G159" s="70"/>
    </row>
    <row r="160" spans="1:7" ht="14.25">
      <c r="A160" s="113"/>
      <c r="B160" s="114"/>
      <c r="D160" s="113"/>
      <c r="E160" s="115"/>
      <c r="F160" s="116"/>
      <c r="G160" s="70"/>
    </row>
    <row r="161" spans="1:7" ht="14.25">
      <c r="A161" s="113"/>
      <c r="B161" s="114"/>
      <c r="D161" s="113"/>
      <c r="E161" s="115"/>
      <c r="F161" s="116"/>
      <c r="G161" s="70"/>
    </row>
    <row r="162" spans="1:7" ht="14.25">
      <c r="A162" s="113"/>
      <c r="B162" s="114"/>
      <c r="D162" s="113"/>
      <c r="E162" s="115"/>
      <c r="F162" s="116"/>
      <c r="G162" s="70"/>
    </row>
    <row r="163" spans="1:7" ht="14.25">
      <c r="A163" s="113"/>
      <c r="B163" s="114"/>
      <c r="D163" s="113"/>
      <c r="E163" s="115"/>
      <c r="F163" s="116"/>
      <c r="G163" s="70"/>
    </row>
    <row r="164" spans="1:7" ht="14.25">
      <c r="A164" s="113"/>
      <c r="B164" s="114"/>
      <c r="D164" s="113"/>
      <c r="E164" s="115"/>
      <c r="F164" s="116"/>
      <c r="G164" s="70"/>
    </row>
    <row r="165" spans="1:7" ht="14.25">
      <c r="A165" s="113"/>
      <c r="B165" s="114"/>
      <c r="D165" s="113"/>
      <c r="E165" s="115"/>
      <c r="F165" s="116"/>
      <c r="G165" s="70"/>
    </row>
    <row r="166" spans="1:7" ht="14.25">
      <c r="A166" s="113"/>
      <c r="B166" s="114"/>
      <c r="D166" s="113"/>
      <c r="E166" s="115"/>
      <c r="F166" s="116"/>
      <c r="G166" s="70"/>
    </row>
    <row r="167" spans="1:7" ht="14.25">
      <c r="A167" s="113"/>
      <c r="B167" s="114"/>
      <c r="D167" s="113"/>
      <c r="E167" s="115"/>
      <c r="F167" s="116"/>
      <c r="G167" s="70"/>
    </row>
    <row r="168" spans="1:7" ht="14.25">
      <c r="A168" s="113"/>
      <c r="B168" s="114"/>
      <c r="D168" s="113"/>
      <c r="E168" s="115"/>
      <c r="F168" s="116"/>
      <c r="G168" s="70"/>
    </row>
    <row r="169" spans="1:7" ht="14.25">
      <c r="A169" s="113"/>
      <c r="B169" s="114"/>
      <c r="D169" s="113"/>
      <c r="E169" s="115"/>
      <c r="F169" s="116"/>
      <c r="G169" s="70"/>
    </row>
    <row r="170" spans="1:7" ht="14.25">
      <c r="A170" s="113"/>
      <c r="B170" s="114"/>
      <c r="D170" s="113"/>
      <c r="E170" s="115"/>
      <c r="F170" s="116"/>
      <c r="G170" s="70"/>
    </row>
    <row r="171" spans="1:7" ht="14.25">
      <c r="A171" s="113"/>
      <c r="B171" s="114"/>
      <c r="D171" s="113"/>
      <c r="E171" s="115"/>
      <c r="F171" s="116"/>
      <c r="G171" s="70"/>
    </row>
    <row r="172" spans="1:7" ht="14.25">
      <c r="A172" s="113"/>
      <c r="B172" s="114"/>
      <c r="D172" s="113"/>
      <c r="E172" s="115"/>
      <c r="F172" s="116"/>
      <c r="G172" s="70"/>
    </row>
    <row r="173" spans="1:7" ht="14.25">
      <c r="A173" s="113"/>
      <c r="B173" s="114"/>
      <c r="D173" s="113"/>
      <c r="E173" s="115"/>
      <c r="F173" s="116"/>
      <c r="G173" s="70"/>
    </row>
    <row r="174" spans="1:7" ht="14.25">
      <c r="A174" s="113"/>
      <c r="B174" s="114"/>
      <c r="D174" s="113"/>
      <c r="E174" s="115"/>
      <c r="F174" s="116"/>
      <c r="G174" s="70"/>
    </row>
    <row r="175" spans="1:7" ht="14.25">
      <c r="A175" s="113"/>
      <c r="B175" s="114"/>
      <c r="D175" s="113"/>
      <c r="E175" s="115"/>
      <c r="F175" s="116"/>
      <c r="G175" s="70"/>
    </row>
    <row r="176" spans="1:7" ht="14.25">
      <c r="A176" s="113"/>
      <c r="B176" s="114"/>
      <c r="D176" s="113"/>
      <c r="E176" s="115"/>
      <c r="F176" s="116"/>
      <c r="G176" s="70"/>
    </row>
    <row r="177" spans="1:7" ht="14.25">
      <c r="A177" s="113"/>
      <c r="B177" s="114"/>
      <c r="D177" s="113"/>
      <c r="E177" s="115"/>
      <c r="F177" s="116"/>
      <c r="G177" s="70"/>
    </row>
    <row r="178" spans="1:7" ht="14.25">
      <c r="A178" s="113"/>
      <c r="B178" s="114"/>
      <c r="D178" s="113"/>
      <c r="E178" s="115"/>
      <c r="F178" s="116"/>
      <c r="G178" s="70"/>
    </row>
    <row r="179" spans="1:7" ht="14.25">
      <c r="A179" s="113"/>
      <c r="B179" s="114"/>
      <c r="D179" s="113"/>
      <c r="E179" s="115"/>
      <c r="F179" s="116"/>
      <c r="G179" s="70"/>
    </row>
    <row r="180" spans="1:7" ht="14.25">
      <c r="A180" s="113"/>
      <c r="B180" s="114"/>
      <c r="D180" s="113"/>
      <c r="E180" s="115"/>
      <c r="F180" s="116"/>
      <c r="G180" s="70"/>
    </row>
    <row r="181" spans="1:7" ht="14.25">
      <c r="A181" s="113"/>
      <c r="B181" s="114"/>
      <c r="D181" s="113"/>
      <c r="E181" s="115"/>
      <c r="F181" s="116"/>
      <c r="G181" s="70"/>
    </row>
    <row r="182" spans="1:7" ht="14.25">
      <c r="A182" s="113"/>
      <c r="B182" s="114"/>
      <c r="D182" s="113"/>
      <c r="E182" s="115"/>
      <c r="F182" s="116"/>
      <c r="G182" s="70"/>
    </row>
    <row r="183" spans="1:7" ht="14.25">
      <c r="A183" s="113"/>
      <c r="B183" s="114"/>
      <c r="D183" s="113"/>
      <c r="E183" s="115"/>
      <c r="F183" s="116"/>
      <c r="G183" s="70"/>
    </row>
    <row r="184" spans="1:7" ht="14.25">
      <c r="A184" s="113"/>
      <c r="B184" s="114"/>
      <c r="D184" s="113"/>
      <c r="E184" s="115"/>
      <c r="F184" s="116"/>
      <c r="G184" s="70"/>
    </row>
    <row r="185" spans="1:7" ht="14.25">
      <c r="A185" s="113"/>
      <c r="B185" s="114"/>
      <c r="D185" s="113"/>
      <c r="E185" s="115"/>
      <c r="F185" s="116"/>
      <c r="G185" s="70"/>
    </row>
    <row r="186" spans="1:7" ht="14.25">
      <c r="A186" s="113"/>
      <c r="B186" s="114"/>
      <c r="D186" s="113"/>
      <c r="E186" s="115"/>
      <c r="F186" s="116"/>
      <c r="G186" s="70"/>
    </row>
    <row r="187" spans="1:7" ht="14.25">
      <c r="A187" s="113"/>
      <c r="B187" s="114"/>
      <c r="D187" s="113"/>
      <c r="E187" s="115"/>
      <c r="F187" s="116"/>
      <c r="G187" s="70"/>
    </row>
    <row r="188" spans="1:7" ht="14.25">
      <c r="A188" s="113"/>
      <c r="B188" s="114"/>
      <c r="D188" s="113"/>
      <c r="E188" s="115"/>
      <c r="F188" s="116"/>
      <c r="G188" s="70"/>
    </row>
    <row r="189" spans="1:7" ht="14.25">
      <c r="A189" s="113"/>
      <c r="B189" s="114"/>
      <c r="D189" s="113"/>
      <c r="E189" s="115"/>
      <c r="F189" s="116"/>
      <c r="G189" s="70"/>
    </row>
    <row r="190" spans="1:7" ht="14.25">
      <c r="A190" s="113"/>
      <c r="B190" s="114"/>
      <c r="D190" s="113"/>
      <c r="E190" s="115"/>
      <c r="F190" s="116"/>
      <c r="G190" s="70"/>
    </row>
    <row r="191" spans="1:7" ht="14.25">
      <c r="A191" s="113"/>
      <c r="B191" s="114"/>
      <c r="D191" s="113"/>
      <c r="E191" s="115"/>
      <c r="F191" s="116"/>
      <c r="G191" s="70"/>
    </row>
    <row r="192" spans="1:7" ht="14.25">
      <c r="A192" s="113"/>
      <c r="B192" s="114"/>
      <c r="D192" s="113"/>
      <c r="E192" s="115"/>
      <c r="F192" s="116"/>
      <c r="G192" s="70"/>
    </row>
    <row r="193" spans="1:7" ht="14.25">
      <c r="A193" s="113"/>
      <c r="B193" s="114"/>
      <c r="D193" s="113"/>
      <c r="E193" s="115"/>
      <c r="F193" s="116"/>
      <c r="G193" s="70"/>
    </row>
    <row r="194" spans="1:7" ht="14.25">
      <c r="A194" s="113"/>
      <c r="B194" s="114"/>
      <c r="D194" s="113"/>
      <c r="E194" s="115"/>
      <c r="F194" s="116"/>
      <c r="G194" s="70"/>
    </row>
    <row r="195" spans="1:7" ht="14.25">
      <c r="A195" s="113"/>
      <c r="B195" s="114"/>
      <c r="D195" s="113"/>
      <c r="E195" s="115"/>
      <c r="F195" s="116"/>
      <c r="G195" s="70"/>
    </row>
    <row r="196" spans="1:7" ht="14.25">
      <c r="A196" s="113"/>
      <c r="B196" s="114"/>
      <c r="D196" s="113"/>
      <c r="E196" s="115"/>
      <c r="F196" s="116"/>
      <c r="G196" s="70"/>
    </row>
    <row r="197" spans="1:7" ht="14.25">
      <c r="A197" s="113"/>
      <c r="B197" s="114"/>
      <c r="D197" s="113"/>
      <c r="E197" s="115"/>
      <c r="F197" s="116"/>
      <c r="G197" s="70"/>
    </row>
    <row r="198" spans="1:7" ht="14.25">
      <c r="A198" s="113"/>
      <c r="B198" s="114"/>
      <c r="D198" s="113"/>
      <c r="E198" s="115"/>
      <c r="F198" s="116"/>
      <c r="G198" s="70"/>
    </row>
    <row r="199" spans="1:7" ht="14.25">
      <c r="A199" s="113"/>
      <c r="B199" s="114"/>
      <c r="D199" s="113"/>
      <c r="E199" s="115"/>
      <c r="F199" s="116"/>
      <c r="G199" s="70"/>
    </row>
    <row r="200" spans="1:7" ht="14.25">
      <c r="A200" s="113"/>
      <c r="B200" s="114"/>
      <c r="D200" s="113"/>
      <c r="E200" s="115"/>
      <c r="F200" s="116"/>
      <c r="G200" s="70"/>
    </row>
    <row r="201" spans="1:7" ht="14.25">
      <c r="A201" s="113"/>
      <c r="B201" s="114"/>
      <c r="D201" s="113"/>
      <c r="E201" s="115"/>
      <c r="F201" s="116"/>
      <c r="G201" s="70"/>
    </row>
    <row r="202" spans="1:7" ht="14.25">
      <c r="A202" s="113"/>
      <c r="B202" s="114"/>
      <c r="D202" s="113"/>
      <c r="E202" s="115"/>
      <c r="F202" s="116"/>
      <c r="G202" s="70"/>
    </row>
    <row r="203" spans="1:7" ht="14.25">
      <c r="A203" s="113"/>
      <c r="B203" s="114"/>
      <c r="D203" s="113"/>
      <c r="E203" s="115"/>
      <c r="F203" s="116"/>
      <c r="G203" s="70"/>
    </row>
    <row r="204" spans="1:7" ht="14.25">
      <c r="A204" s="113"/>
      <c r="B204" s="114"/>
      <c r="D204" s="113"/>
      <c r="E204" s="115"/>
      <c r="F204" s="116"/>
      <c r="G204" s="70"/>
    </row>
    <row r="205" spans="1:7" ht="14.25">
      <c r="A205" s="113"/>
      <c r="B205" s="114"/>
      <c r="D205" s="113"/>
      <c r="E205" s="115"/>
      <c r="F205" s="116"/>
      <c r="G205" s="70"/>
    </row>
    <row r="206" spans="1:7" ht="14.25">
      <c r="A206" s="113"/>
      <c r="B206" s="114"/>
      <c r="D206" s="113"/>
      <c r="E206" s="115"/>
      <c r="F206" s="116"/>
      <c r="G206" s="70"/>
    </row>
    <row r="207" spans="1:7" ht="14.25">
      <c r="A207" s="113"/>
      <c r="B207" s="114"/>
      <c r="D207" s="113"/>
      <c r="E207" s="115"/>
      <c r="F207" s="116"/>
      <c r="G207" s="70"/>
    </row>
    <row r="208" spans="1:7" ht="14.25">
      <c r="A208" s="113"/>
      <c r="B208" s="114"/>
      <c r="D208" s="113"/>
      <c r="E208" s="115"/>
      <c r="F208" s="116"/>
      <c r="G208" s="70"/>
    </row>
    <row r="209" spans="1:7" ht="14.25">
      <c r="A209" s="113"/>
      <c r="B209" s="114"/>
      <c r="D209" s="113"/>
      <c r="E209" s="115"/>
      <c r="F209" s="116"/>
      <c r="G209" s="70"/>
    </row>
    <row r="210" spans="1:7" ht="14.25">
      <c r="A210" s="113"/>
      <c r="B210" s="114"/>
      <c r="D210" s="113"/>
      <c r="E210" s="115"/>
      <c r="F210" s="116"/>
      <c r="G210" s="70"/>
    </row>
    <row r="211" spans="1:7" ht="14.25">
      <c r="A211" s="113"/>
      <c r="B211" s="114"/>
      <c r="D211" s="113"/>
      <c r="E211" s="115"/>
      <c r="F211" s="116"/>
      <c r="G211" s="70"/>
    </row>
    <row r="212" spans="1:7" ht="14.25">
      <c r="A212" s="113"/>
      <c r="B212" s="114"/>
      <c r="D212" s="113"/>
      <c r="E212" s="115"/>
      <c r="F212" s="116"/>
      <c r="G212" s="70"/>
    </row>
    <row r="213" spans="1:7" ht="14.25">
      <c r="A213" s="113"/>
      <c r="B213" s="114"/>
      <c r="D213" s="113"/>
      <c r="E213" s="115"/>
      <c r="F213" s="116"/>
      <c r="G213" s="70"/>
    </row>
    <row r="214" spans="1:7" ht="14.25">
      <c r="A214" s="113"/>
      <c r="B214" s="114"/>
      <c r="D214" s="113"/>
      <c r="E214" s="115"/>
      <c r="F214" s="116"/>
      <c r="G214" s="70"/>
    </row>
    <row r="215" spans="1:7" ht="14.25">
      <c r="A215" s="113"/>
      <c r="B215" s="114"/>
      <c r="D215" s="113"/>
      <c r="E215" s="115"/>
      <c r="F215" s="116"/>
      <c r="G215" s="70"/>
    </row>
    <row r="216" spans="1:7" ht="14.25">
      <c r="A216" s="113"/>
      <c r="B216" s="114"/>
      <c r="D216" s="113"/>
      <c r="E216" s="115"/>
      <c r="F216" s="116"/>
      <c r="G216" s="70"/>
    </row>
    <row r="217" spans="1:7" ht="14.25">
      <c r="A217" s="113"/>
      <c r="B217" s="114"/>
      <c r="D217" s="113"/>
      <c r="E217" s="115"/>
      <c r="F217" s="116"/>
      <c r="G217" s="70"/>
    </row>
    <row r="218" spans="1:7" ht="14.25">
      <c r="A218" s="113"/>
      <c r="B218" s="114"/>
      <c r="D218" s="113"/>
      <c r="E218" s="115"/>
      <c r="F218" s="116"/>
      <c r="G218" s="70"/>
    </row>
    <row r="219" spans="1:7" ht="14.25">
      <c r="A219" s="113"/>
      <c r="B219" s="114"/>
      <c r="D219" s="113"/>
      <c r="E219" s="115"/>
      <c r="F219" s="116"/>
      <c r="G219" s="70"/>
    </row>
    <row r="220" spans="1:7" ht="14.25">
      <c r="A220" s="113"/>
      <c r="B220" s="114"/>
      <c r="D220" s="113"/>
      <c r="E220" s="115"/>
      <c r="F220" s="116"/>
      <c r="G220" s="70"/>
    </row>
    <row r="221" spans="1:7" ht="14.25">
      <c r="A221" s="113"/>
      <c r="B221" s="114"/>
      <c r="D221" s="113"/>
      <c r="E221" s="115"/>
      <c r="F221" s="116"/>
      <c r="G221" s="70"/>
    </row>
    <row r="222" spans="1:7" ht="14.25">
      <c r="A222" s="113"/>
      <c r="B222" s="114"/>
      <c r="D222" s="113"/>
      <c r="E222" s="115"/>
      <c r="F222" s="116"/>
      <c r="G222" s="70"/>
    </row>
    <row r="223" spans="1:7" ht="14.25">
      <c r="A223" s="113"/>
      <c r="B223" s="114"/>
      <c r="D223" s="113"/>
      <c r="E223" s="115"/>
      <c r="F223" s="116"/>
      <c r="G223" s="70"/>
    </row>
    <row r="224" spans="1:7" ht="14.25">
      <c r="A224" s="113"/>
      <c r="B224" s="114"/>
      <c r="D224" s="113"/>
      <c r="E224" s="115"/>
      <c r="F224" s="116"/>
      <c r="G224" s="70"/>
    </row>
    <row r="225" spans="1:7" ht="14.25">
      <c r="A225" s="113"/>
      <c r="B225" s="114"/>
      <c r="D225" s="113"/>
      <c r="E225" s="115"/>
      <c r="F225" s="116"/>
      <c r="G225" s="70"/>
    </row>
    <row r="226" spans="1:7" ht="14.25">
      <c r="A226" s="113"/>
      <c r="B226" s="114"/>
      <c r="D226" s="113"/>
      <c r="E226" s="115"/>
      <c r="F226" s="116"/>
      <c r="G226" s="70"/>
    </row>
    <row r="227" spans="1:7" ht="14.25">
      <c r="A227" s="113"/>
      <c r="B227" s="114"/>
      <c r="D227" s="113"/>
      <c r="E227" s="115"/>
      <c r="F227" s="116"/>
      <c r="G227" s="70"/>
    </row>
    <row r="228" spans="1:7" ht="14.25">
      <c r="A228" s="113"/>
      <c r="B228" s="114"/>
      <c r="D228" s="113"/>
      <c r="E228" s="115"/>
      <c r="F228" s="116"/>
      <c r="G228" s="70"/>
    </row>
    <row r="229" spans="1:7" ht="14.25">
      <c r="A229" s="113"/>
      <c r="B229" s="114"/>
      <c r="D229" s="113"/>
      <c r="E229" s="115"/>
      <c r="F229" s="116"/>
      <c r="G229" s="70"/>
    </row>
    <row r="230" spans="1:7" ht="14.25">
      <c r="A230" s="113"/>
      <c r="B230" s="114"/>
      <c r="D230" s="113"/>
      <c r="E230" s="115"/>
      <c r="F230" s="116"/>
      <c r="G230" s="70"/>
    </row>
    <row r="231" spans="1:7" ht="14.25">
      <c r="A231" s="113"/>
      <c r="B231" s="114"/>
      <c r="D231" s="113"/>
      <c r="E231" s="115"/>
      <c r="F231" s="116"/>
      <c r="G231" s="70"/>
    </row>
    <row r="232" spans="1:7" ht="14.25">
      <c r="A232" s="113"/>
      <c r="B232" s="114"/>
      <c r="D232" s="113"/>
      <c r="E232" s="115"/>
      <c r="F232" s="116"/>
      <c r="G232" s="70"/>
    </row>
    <row r="233" spans="1:7" ht="14.25">
      <c r="A233" s="113"/>
      <c r="B233" s="114"/>
      <c r="D233" s="113"/>
      <c r="E233" s="115"/>
      <c r="F233" s="116"/>
      <c r="G233" s="70"/>
    </row>
    <row r="234" spans="1:7" ht="14.25">
      <c r="A234" s="113"/>
      <c r="B234" s="114"/>
      <c r="D234" s="113"/>
      <c r="E234" s="115"/>
      <c r="F234" s="116"/>
      <c r="G234" s="70"/>
    </row>
    <row r="235" spans="1:7" ht="14.25">
      <c r="A235" s="113"/>
      <c r="B235" s="114"/>
      <c r="D235" s="113"/>
      <c r="E235" s="115"/>
      <c r="F235" s="116"/>
      <c r="G235" s="70"/>
    </row>
    <row r="236" spans="1:7" ht="14.25">
      <c r="A236" s="113"/>
      <c r="B236" s="114"/>
      <c r="D236" s="113"/>
      <c r="E236" s="115"/>
      <c r="F236" s="116"/>
      <c r="G236" s="70"/>
    </row>
    <row r="237" spans="1:7" ht="14.25">
      <c r="A237" s="113"/>
      <c r="B237" s="114"/>
      <c r="D237" s="113"/>
      <c r="E237" s="115"/>
      <c r="F237" s="116"/>
      <c r="G237" s="70"/>
    </row>
    <row r="238" spans="1:7" ht="14.25">
      <c r="A238" s="113"/>
      <c r="B238" s="114"/>
      <c r="D238" s="113"/>
      <c r="E238" s="115"/>
      <c r="F238" s="116"/>
      <c r="G238" s="70"/>
    </row>
    <row r="239" spans="1:7" ht="14.25">
      <c r="A239" s="113"/>
      <c r="B239" s="114"/>
      <c r="D239" s="113"/>
      <c r="E239" s="115"/>
      <c r="F239" s="116"/>
      <c r="G239" s="70"/>
    </row>
    <row r="240" spans="1:7" ht="14.25">
      <c r="A240" s="113"/>
      <c r="B240" s="114"/>
      <c r="D240" s="113"/>
      <c r="E240" s="115"/>
      <c r="F240" s="116"/>
      <c r="G240" s="70"/>
    </row>
    <row r="241" spans="1:7" ht="14.25">
      <c r="A241" s="113"/>
      <c r="B241" s="114"/>
      <c r="D241" s="113"/>
      <c r="E241" s="115"/>
      <c r="F241" s="116"/>
      <c r="G241" s="70"/>
    </row>
    <row r="242" spans="1:7" ht="14.25">
      <c r="A242" s="113"/>
      <c r="B242" s="114"/>
      <c r="D242" s="113"/>
      <c r="E242" s="115"/>
      <c r="F242" s="116"/>
      <c r="G242" s="70"/>
    </row>
    <row r="243" spans="1:7" ht="14.25">
      <c r="A243" s="113"/>
      <c r="B243" s="114"/>
      <c r="D243" s="113"/>
      <c r="E243" s="115"/>
      <c r="F243" s="116"/>
      <c r="G243" s="70"/>
    </row>
    <row r="244" spans="1:7" ht="14.25">
      <c r="A244" s="113"/>
      <c r="B244" s="114"/>
      <c r="D244" s="113"/>
      <c r="E244" s="115"/>
      <c r="F244" s="116"/>
      <c r="G244" s="70"/>
    </row>
    <row r="245" spans="1:7" ht="14.25">
      <c r="A245" s="113"/>
      <c r="B245" s="114"/>
      <c r="D245" s="113"/>
      <c r="E245" s="115"/>
      <c r="F245" s="116"/>
      <c r="G245" s="70"/>
    </row>
    <row r="246" spans="1:7" ht="14.25">
      <c r="A246" s="113"/>
      <c r="B246" s="114"/>
      <c r="D246" s="113"/>
      <c r="E246" s="115"/>
      <c r="F246" s="116"/>
      <c r="G246" s="70"/>
    </row>
    <row r="247" spans="1:7" ht="14.25">
      <c r="A247" s="113"/>
      <c r="B247" s="114"/>
      <c r="D247" s="113"/>
      <c r="E247" s="115"/>
      <c r="F247" s="116"/>
      <c r="G247" s="70"/>
    </row>
    <row r="248" spans="1:7" ht="14.25">
      <c r="A248" s="113"/>
      <c r="B248" s="114"/>
      <c r="D248" s="113"/>
      <c r="E248" s="115"/>
      <c r="F248" s="116"/>
      <c r="G248" s="70"/>
    </row>
    <row r="249" spans="1:7" ht="14.25">
      <c r="A249" s="113"/>
      <c r="B249" s="114"/>
      <c r="D249" s="113"/>
      <c r="E249" s="115"/>
      <c r="F249" s="116"/>
      <c r="G249" s="70"/>
    </row>
    <row r="250" spans="1:7" ht="14.25">
      <c r="A250" s="113"/>
      <c r="B250" s="114"/>
      <c r="D250" s="113"/>
      <c r="E250" s="115"/>
      <c r="F250" s="116"/>
      <c r="G250" s="70"/>
    </row>
    <row r="251" spans="1:7" ht="14.25">
      <c r="A251" s="113"/>
      <c r="B251" s="114"/>
      <c r="D251" s="113"/>
      <c r="E251" s="115"/>
      <c r="F251" s="116"/>
      <c r="G251" s="70"/>
    </row>
    <row r="252" spans="1:7" ht="14.25">
      <c r="A252" s="113"/>
      <c r="B252" s="114"/>
      <c r="D252" s="113"/>
      <c r="E252" s="115"/>
      <c r="F252" s="116"/>
      <c r="G252" s="70"/>
    </row>
    <row r="253" spans="1:7" ht="14.25">
      <c r="A253" s="113"/>
      <c r="B253" s="114"/>
      <c r="D253" s="113"/>
      <c r="E253" s="115"/>
      <c r="F253" s="116"/>
      <c r="G253" s="70"/>
    </row>
    <row r="254" spans="1:7" ht="14.25">
      <c r="A254" s="113"/>
      <c r="B254" s="114"/>
      <c r="D254" s="113"/>
      <c r="E254" s="115"/>
      <c r="F254" s="116"/>
      <c r="G254" s="70"/>
    </row>
    <row r="255" spans="1:7" ht="14.25">
      <c r="A255" s="113"/>
      <c r="B255" s="114"/>
      <c r="D255" s="113"/>
      <c r="E255" s="115"/>
      <c r="F255" s="116"/>
      <c r="G255" s="70"/>
    </row>
    <row r="256" spans="1:7" ht="14.25">
      <c r="A256" s="113"/>
      <c r="B256" s="114"/>
      <c r="D256" s="113"/>
      <c r="E256" s="115"/>
      <c r="F256" s="116"/>
      <c r="G256" s="70"/>
    </row>
    <row r="257" spans="1:7" ht="14.25">
      <c r="A257" s="113"/>
      <c r="B257" s="114"/>
      <c r="D257" s="113"/>
      <c r="E257" s="115"/>
      <c r="F257" s="116"/>
      <c r="G257" s="70"/>
    </row>
    <row r="258" spans="1:7" ht="14.25">
      <c r="A258" s="113"/>
      <c r="B258" s="114"/>
      <c r="D258" s="113"/>
      <c r="E258" s="115"/>
      <c r="F258" s="116"/>
      <c r="G258" s="70"/>
    </row>
    <row r="259" spans="1:7" ht="14.25">
      <c r="A259" s="113"/>
      <c r="B259" s="114"/>
      <c r="D259" s="113"/>
      <c r="E259" s="115"/>
      <c r="F259" s="116"/>
      <c r="G259" s="70"/>
    </row>
    <row r="260" spans="1:7" ht="14.25">
      <c r="A260" s="113"/>
      <c r="B260" s="114"/>
      <c r="D260" s="113"/>
      <c r="E260" s="115"/>
      <c r="F260" s="116"/>
      <c r="G260" s="70"/>
    </row>
    <row r="261" spans="1:7" ht="14.25">
      <c r="A261" s="113"/>
      <c r="B261" s="114"/>
      <c r="D261" s="113"/>
      <c r="E261" s="115"/>
      <c r="F261" s="116"/>
      <c r="G261" s="70"/>
    </row>
    <row r="262" spans="1:7" ht="14.25">
      <c r="A262" s="113"/>
      <c r="B262" s="114"/>
      <c r="D262" s="113"/>
      <c r="E262" s="115"/>
      <c r="F262" s="116"/>
      <c r="G262" s="70"/>
    </row>
    <row r="263" spans="1:7" ht="14.25">
      <c r="A263" s="113"/>
      <c r="B263" s="114"/>
      <c r="D263" s="113"/>
      <c r="E263" s="115"/>
      <c r="F263" s="116"/>
      <c r="G263" s="70"/>
    </row>
    <row r="264" spans="1:7" ht="14.25">
      <c r="A264" s="113"/>
      <c r="B264" s="114"/>
      <c r="D264" s="113"/>
      <c r="E264" s="115"/>
      <c r="F264" s="116"/>
      <c r="G264" s="70"/>
    </row>
    <row r="265" spans="1:7" ht="14.25">
      <c r="A265" s="113"/>
      <c r="B265" s="114"/>
      <c r="D265" s="113"/>
      <c r="E265" s="115"/>
      <c r="F265" s="116"/>
      <c r="G265" s="70"/>
    </row>
    <row r="266" spans="1:7" ht="14.25">
      <c r="A266" s="113"/>
      <c r="B266" s="114"/>
      <c r="D266" s="113"/>
      <c r="E266" s="115"/>
      <c r="F266" s="116"/>
      <c r="G266" s="70"/>
    </row>
    <row r="267" spans="1:7" ht="14.25">
      <c r="A267" s="113"/>
      <c r="B267" s="114"/>
      <c r="D267" s="113"/>
      <c r="E267" s="115"/>
      <c r="F267" s="116"/>
      <c r="G267" s="70"/>
    </row>
    <row r="268" spans="1:7" ht="14.25">
      <c r="A268" s="113"/>
      <c r="B268" s="114"/>
      <c r="D268" s="113"/>
      <c r="E268" s="115"/>
      <c r="F268" s="116"/>
      <c r="G268" s="70"/>
    </row>
    <row r="269" spans="1:7" ht="14.25">
      <c r="A269" s="113"/>
      <c r="B269" s="114"/>
      <c r="D269" s="113"/>
      <c r="E269" s="115"/>
      <c r="F269" s="116"/>
      <c r="G269" s="70"/>
    </row>
    <row r="270" spans="1:7" ht="14.25">
      <c r="A270" s="113"/>
      <c r="B270" s="114"/>
      <c r="D270" s="113"/>
      <c r="E270" s="115"/>
      <c r="F270" s="116"/>
      <c r="G270" s="70"/>
    </row>
    <row r="271" spans="1:7" ht="14.25">
      <c r="A271" s="113"/>
      <c r="B271" s="114"/>
      <c r="D271" s="113"/>
      <c r="E271" s="115"/>
      <c r="F271" s="116"/>
      <c r="G271" s="70"/>
    </row>
    <row r="272" spans="1:7" ht="14.25">
      <c r="A272" s="113"/>
      <c r="B272" s="114"/>
      <c r="D272" s="113"/>
      <c r="E272" s="115"/>
      <c r="F272" s="116"/>
      <c r="G272" s="70"/>
    </row>
    <row r="273" spans="1:7" ht="14.25">
      <c r="A273" s="113"/>
      <c r="B273" s="114"/>
      <c r="D273" s="113"/>
      <c r="E273" s="115"/>
      <c r="F273" s="116"/>
      <c r="G273" s="70"/>
    </row>
    <row r="274" spans="1:7" ht="14.25">
      <c r="A274" s="113"/>
      <c r="B274" s="114"/>
      <c r="D274" s="113"/>
      <c r="E274" s="115"/>
      <c r="F274" s="116"/>
      <c r="G274" s="70"/>
    </row>
    <row r="275" spans="1:7" ht="14.25">
      <c r="A275" s="113"/>
      <c r="B275" s="114"/>
      <c r="D275" s="113"/>
      <c r="E275" s="115"/>
      <c r="F275" s="116"/>
      <c r="G275" s="70"/>
    </row>
    <row r="276" spans="1:7" ht="14.25">
      <c r="A276" s="113"/>
      <c r="B276" s="114"/>
      <c r="D276" s="113"/>
      <c r="E276" s="115"/>
      <c r="F276" s="116"/>
      <c r="G276" s="70"/>
    </row>
    <row r="277" spans="1:7" ht="14.25">
      <c r="A277" s="113"/>
      <c r="B277" s="114"/>
      <c r="D277" s="113"/>
      <c r="E277" s="115"/>
      <c r="F277" s="116"/>
      <c r="G277" s="70"/>
    </row>
    <row r="278" spans="1:7" ht="14.25">
      <c r="A278" s="113"/>
      <c r="B278" s="114"/>
      <c r="D278" s="113"/>
      <c r="E278" s="115"/>
      <c r="F278" s="116"/>
      <c r="G278" s="70"/>
    </row>
    <row r="279" spans="1:7" ht="14.25">
      <c r="A279" s="113"/>
      <c r="B279" s="114"/>
      <c r="D279" s="113"/>
      <c r="E279" s="115"/>
      <c r="F279" s="116"/>
      <c r="G279" s="70"/>
    </row>
    <row r="280" spans="1:7" ht="14.25">
      <c r="A280" s="113"/>
      <c r="B280" s="114"/>
      <c r="D280" s="113"/>
      <c r="E280" s="115"/>
      <c r="F280" s="116"/>
      <c r="G280" s="70"/>
    </row>
    <row r="281" spans="1:7" ht="14.25">
      <c r="A281" s="113"/>
      <c r="B281" s="114"/>
      <c r="D281" s="113"/>
      <c r="E281" s="115"/>
      <c r="F281" s="116"/>
      <c r="G281" s="70"/>
    </row>
    <row r="282" spans="1:7" ht="14.25">
      <c r="A282" s="113"/>
      <c r="B282" s="114"/>
      <c r="D282" s="113"/>
      <c r="E282" s="115"/>
      <c r="F282" s="116"/>
      <c r="G282" s="70"/>
    </row>
    <row r="283" spans="1:7" ht="14.25">
      <c r="A283" s="113"/>
      <c r="B283" s="114"/>
      <c r="D283" s="113"/>
      <c r="E283" s="115"/>
      <c r="F283" s="116"/>
      <c r="G283" s="70"/>
    </row>
    <row r="284" spans="1:7" ht="14.25">
      <c r="A284" s="113"/>
      <c r="B284" s="114"/>
      <c r="D284" s="113"/>
      <c r="E284" s="115"/>
      <c r="F284" s="116"/>
      <c r="G284" s="70"/>
    </row>
    <row r="285" spans="1:7" ht="14.25">
      <c r="A285" s="113"/>
      <c r="B285" s="114"/>
      <c r="D285" s="113"/>
      <c r="E285" s="115"/>
      <c r="F285" s="116"/>
      <c r="G285" s="70"/>
    </row>
    <row r="286" spans="1:7" ht="14.25">
      <c r="A286" s="113"/>
      <c r="B286" s="114"/>
      <c r="D286" s="113"/>
      <c r="E286" s="115"/>
      <c r="F286" s="116"/>
      <c r="G286" s="70"/>
    </row>
    <row r="287" spans="1:7" ht="14.25">
      <c r="A287" s="113"/>
      <c r="B287" s="114"/>
      <c r="D287" s="113"/>
      <c r="E287" s="115"/>
      <c r="F287" s="116"/>
      <c r="G287" s="70"/>
    </row>
    <row r="288" spans="1:7" ht="14.25">
      <c r="A288" s="113"/>
      <c r="B288" s="114"/>
      <c r="D288" s="113"/>
      <c r="E288" s="115"/>
      <c r="F288" s="116"/>
      <c r="G288" s="70"/>
    </row>
    <row r="289" spans="1:7" ht="14.25">
      <c r="A289" s="113"/>
      <c r="B289" s="114"/>
      <c r="D289" s="113"/>
      <c r="E289" s="115"/>
      <c r="F289" s="116"/>
      <c r="G289" s="70"/>
    </row>
    <row r="290" spans="1:7" ht="14.25">
      <c r="A290" s="113"/>
      <c r="B290" s="114"/>
      <c r="D290" s="113"/>
      <c r="E290" s="115"/>
      <c r="F290" s="116"/>
      <c r="G290" s="70"/>
    </row>
    <row r="291" spans="1:7" ht="14.25">
      <c r="A291" s="113"/>
      <c r="B291" s="114"/>
      <c r="D291" s="113"/>
      <c r="E291" s="115"/>
      <c r="F291" s="116"/>
      <c r="G291" s="70"/>
    </row>
    <row r="292" spans="1:7" ht="14.25">
      <c r="A292" s="113"/>
      <c r="B292" s="114"/>
      <c r="D292" s="113"/>
      <c r="E292" s="115"/>
      <c r="F292" s="116"/>
      <c r="G292" s="70"/>
    </row>
    <row r="293" spans="1:7" ht="14.25">
      <c r="A293" s="113"/>
      <c r="B293" s="114"/>
      <c r="D293" s="113"/>
      <c r="E293" s="115"/>
      <c r="F293" s="116"/>
      <c r="G293" s="70"/>
    </row>
    <row r="294" spans="1:7" ht="14.25">
      <c r="A294" s="113"/>
      <c r="B294" s="114"/>
      <c r="D294" s="113"/>
      <c r="E294" s="115"/>
      <c r="F294" s="116"/>
      <c r="G294" s="70"/>
    </row>
    <row r="295" spans="1:7" ht="14.25">
      <c r="A295" s="113"/>
      <c r="B295" s="114"/>
      <c r="D295" s="113"/>
      <c r="E295" s="115"/>
      <c r="F295" s="116"/>
      <c r="G295" s="70"/>
    </row>
    <row r="296" spans="1:7" ht="14.25">
      <c r="A296" s="113"/>
      <c r="B296" s="114"/>
      <c r="D296" s="113"/>
      <c r="E296" s="115"/>
      <c r="F296" s="116"/>
      <c r="G296" s="70"/>
    </row>
    <row r="297" spans="1:7" ht="14.25">
      <c r="A297" s="113"/>
      <c r="B297" s="114"/>
      <c r="D297" s="113"/>
      <c r="E297" s="115"/>
      <c r="F297" s="116"/>
      <c r="G297" s="70"/>
    </row>
    <row r="298" spans="1:7" ht="14.25">
      <c r="A298" s="113"/>
      <c r="B298" s="114"/>
      <c r="D298" s="113"/>
      <c r="E298" s="115"/>
      <c r="F298" s="116"/>
      <c r="G298" s="70"/>
    </row>
    <row r="299" spans="1:7" ht="14.25">
      <c r="A299" s="113"/>
      <c r="B299" s="114"/>
      <c r="D299" s="113"/>
      <c r="E299" s="115"/>
      <c r="F299" s="116"/>
      <c r="G299" s="70"/>
    </row>
    <row r="300" spans="1:7" ht="14.25">
      <c r="A300" s="113"/>
      <c r="B300" s="114"/>
      <c r="D300" s="113"/>
      <c r="E300" s="115"/>
      <c r="F300" s="116"/>
      <c r="G300" s="70"/>
    </row>
    <row r="301" spans="1:7" ht="14.25">
      <c r="A301" s="113"/>
      <c r="B301" s="114"/>
      <c r="D301" s="113"/>
      <c r="E301" s="115"/>
      <c r="F301" s="116"/>
      <c r="G301" s="70"/>
    </row>
    <row r="302" spans="1:7" ht="14.25">
      <c r="A302" s="113"/>
      <c r="B302" s="114"/>
      <c r="D302" s="113"/>
      <c r="E302" s="115"/>
      <c r="F302" s="116"/>
      <c r="G302" s="70"/>
    </row>
    <row r="303" spans="1:7" ht="14.25">
      <c r="A303" s="113"/>
      <c r="B303" s="114"/>
      <c r="D303" s="113"/>
      <c r="E303" s="115"/>
      <c r="F303" s="116"/>
      <c r="G303" s="70"/>
    </row>
    <row r="304" spans="1:7" ht="14.25">
      <c r="A304" s="113"/>
      <c r="B304" s="114"/>
      <c r="D304" s="113"/>
      <c r="E304" s="115"/>
      <c r="F304" s="116"/>
      <c r="G304" s="70"/>
    </row>
    <row r="305" spans="1:7" ht="14.25">
      <c r="A305" s="113"/>
      <c r="B305" s="114"/>
      <c r="D305" s="113"/>
      <c r="E305" s="115"/>
      <c r="F305" s="116"/>
      <c r="G305" s="70"/>
    </row>
    <row r="306" spans="1:7" ht="14.25">
      <c r="A306" s="113"/>
      <c r="B306" s="114"/>
      <c r="D306" s="113"/>
      <c r="E306" s="115"/>
      <c r="F306" s="116"/>
      <c r="G306" s="70"/>
    </row>
    <row r="307" spans="1:7" ht="14.25">
      <c r="A307" s="113"/>
      <c r="B307" s="114"/>
      <c r="D307" s="113"/>
      <c r="E307" s="115"/>
      <c r="F307" s="116"/>
      <c r="G307" s="70"/>
    </row>
    <row r="308" spans="1:7" ht="14.25">
      <c r="A308" s="113"/>
      <c r="B308" s="114"/>
      <c r="D308" s="113"/>
      <c r="E308" s="115"/>
      <c r="F308" s="116"/>
      <c r="G308" s="70"/>
    </row>
    <row r="309" spans="1:7" ht="14.25">
      <c r="A309" s="113"/>
      <c r="B309" s="114"/>
      <c r="D309" s="113"/>
      <c r="E309" s="115"/>
      <c r="F309" s="116"/>
      <c r="G309" s="70"/>
    </row>
    <row r="310" spans="1:7" ht="14.25">
      <c r="A310" s="113"/>
      <c r="B310" s="114"/>
      <c r="D310" s="113"/>
      <c r="E310" s="115"/>
      <c r="F310" s="116"/>
      <c r="G310" s="70"/>
    </row>
    <row r="311" spans="1:7" ht="14.25">
      <c r="A311" s="113"/>
      <c r="B311" s="114"/>
      <c r="D311" s="113"/>
      <c r="E311" s="115"/>
      <c r="F311" s="116"/>
      <c r="G311" s="70"/>
    </row>
    <row r="312" spans="1:7" ht="14.25">
      <c r="A312" s="113"/>
      <c r="B312" s="114"/>
      <c r="D312" s="113"/>
      <c r="E312" s="115"/>
      <c r="F312" s="116"/>
      <c r="G312" s="70"/>
    </row>
    <row r="313" spans="1:7" ht="14.25">
      <c r="A313" s="113"/>
      <c r="B313" s="114"/>
      <c r="D313" s="113"/>
      <c r="E313" s="115"/>
      <c r="F313" s="116"/>
      <c r="G313" s="70"/>
    </row>
    <row r="314" spans="1:7" ht="14.25">
      <c r="A314" s="113"/>
      <c r="B314" s="114"/>
      <c r="D314" s="113"/>
      <c r="E314" s="115"/>
      <c r="F314" s="116"/>
      <c r="G314" s="70"/>
    </row>
    <row r="315" spans="1:7" ht="14.25">
      <c r="A315" s="113"/>
      <c r="B315" s="114"/>
      <c r="D315" s="113"/>
      <c r="E315" s="115"/>
      <c r="F315" s="116"/>
      <c r="G315" s="70"/>
    </row>
    <row r="316" spans="1:7" ht="14.25">
      <c r="A316" s="113"/>
      <c r="B316" s="114"/>
      <c r="D316" s="113"/>
      <c r="E316" s="115"/>
      <c r="F316" s="116"/>
      <c r="G316" s="70"/>
    </row>
    <row r="317" spans="1:7" ht="14.25">
      <c r="A317" s="113"/>
      <c r="B317" s="114"/>
      <c r="D317" s="113"/>
      <c r="E317" s="115"/>
      <c r="F317" s="116"/>
      <c r="G317" s="70"/>
    </row>
    <row r="318" spans="1:7" ht="14.25">
      <c r="A318" s="113"/>
      <c r="B318" s="114"/>
      <c r="D318" s="113"/>
      <c r="E318" s="115"/>
      <c r="F318" s="116"/>
      <c r="G318" s="70"/>
    </row>
    <row r="319" spans="1:7" ht="14.25">
      <c r="A319" s="113"/>
      <c r="B319" s="114"/>
      <c r="D319" s="113"/>
      <c r="E319" s="115"/>
      <c r="F319" s="116"/>
      <c r="G319" s="70"/>
    </row>
    <row r="320" spans="1:7" ht="14.25">
      <c r="A320" s="113"/>
      <c r="B320" s="114"/>
      <c r="D320" s="113"/>
      <c r="E320" s="115"/>
      <c r="F320" s="116"/>
      <c r="G320" s="70"/>
    </row>
    <row r="321" spans="1:7" ht="14.25">
      <c r="A321" s="113"/>
      <c r="B321" s="114"/>
      <c r="D321" s="113"/>
      <c r="E321" s="115"/>
      <c r="F321" s="116"/>
      <c r="G321" s="70"/>
    </row>
    <row r="322" spans="1:7" ht="14.25">
      <c r="A322" s="113"/>
      <c r="B322" s="114"/>
      <c r="D322" s="113"/>
      <c r="E322" s="115"/>
      <c r="F322" s="116"/>
      <c r="G322" s="70"/>
    </row>
    <row r="323" spans="1:7" ht="14.25">
      <c r="A323" s="113"/>
      <c r="B323" s="114"/>
      <c r="D323" s="113"/>
      <c r="E323" s="115"/>
      <c r="F323" s="116"/>
      <c r="G323" s="70"/>
    </row>
    <row r="324" spans="1:7" ht="14.25">
      <c r="A324" s="113"/>
      <c r="B324" s="114"/>
      <c r="D324" s="113"/>
      <c r="E324" s="115"/>
      <c r="F324" s="116"/>
      <c r="G324" s="70"/>
    </row>
    <row r="325" spans="1:7" ht="14.25">
      <c r="A325" s="113"/>
      <c r="B325" s="114"/>
      <c r="D325" s="113"/>
      <c r="E325" s="115"/>
      <c r="F325" s="116"/>
      <c r="G325" s="70"/>
    </row>
    <row r="326" spans="1:7" ht="14.25">
      <c r="A326" s="113"/>
      <c r="B326" s="114"/>
      <c r="D326" s="113"/>
      <c r="E326" s="115"/>
      <c r="F326" s="116"/>
      <c r="G326" s="70"/>
    </row>
    <row r="327" spans="1:7" ht="14.25">
      <c r="A327" s="113"/>
      <c r="B327" s="114"/>
      <c r="D327" s="113"/>
      <c r="E327" s="115"/>
      <c r="F327" s="116"/>
      <c r="G327" s="70"/>
    </row>
    <row r="328" spans="1:7" ht="14.25">
      <c r="A328" s="113"/>
      <c r="B328" s="114"/>
      <c r="D328" s="113"/>
      <c r="E328" s="115"/>
      <c r="F328" s="116"/>
      <c r="G328" s="70"/>
    </row>
    <row r="329" spans="1:7" ht="14.25">
      <c r="A329" s="113"/>
      <c r="B329" s="114"/>
      <c r="D329" s="113"/>
      <c r="E329" s="115"/>
      <c r="F329" s="116"/>
      <c r="G329" s="70"/>
    </row>
    <row r="330" spans="1:7" ht="14.25">
      <c r="A330" s="113"/>
      <c r="B330" s="114"/>
      <c r="D330" s="113"/>
      <c r="E330" s="115"/>
      <c r="F330" s="116"/>
      <c r="G330" s="70"/>
    </row>
    <row r="331" spans="1:7" ht="14.25">
      <c r="A331" s="113"/>
      <c r="B331" s="114"/>
      <c r="D331" s="113"/>
      <c r="E331" s="115"/>
      <c r="F331" s="116"/>
      <c r="G331" s="70"/>
    </row>
    <row r="332" spans="1:7" ht="14.25">
      <c r="A332" s="113"/>
      <c r="B332" s="114"/>
      <c r="D332" s="113"/>
      <c r="E332" s="115"/>
      <c r="F332" s="116"/>
      <c r="G332" s="70"/>
    </row>
    <row r="333" spans="1:7" ht="14.25">
      <c r="A333" s="113"/>
      <c r="B333" s="114"/>
      <c r="D333" s="113"/>
      <c r="E333" s="115"/>
      <c r="F333" s="116"/>
      <c r="G333" s="70"/>
    </row>
    <row r="334" spans="1:7" ht="14.25">
      <c r="A334" s="113"/>
      <c r="B334" s="114"/>
      <c r="D334" s="113"/>
      <c r="E334" s="115"/>
      <c r="F334" s="116"/>
      <c r="G334" s="70"/>
    </row>
    <row r="335" spans="1:7" ht="14.25">
      <c r="A335" s="113"/>
      <c r="B335" s="114"/>
      <c r="D335" s="113"/>
      <c r="E335" s="115"/>
      <c r="F335" s="116"/>
      <c r="G335" s="70"/>
    </row>
    <row r="336" spans="1:7" ht="14.25">
      <c r="A336" s="113"/>
      <c r="B336" s="114"/>
      <c r="D336" s="113"/>
      <c r="E336" s="115"/>
      <c r="F336" s="116"/>
      <c r="G336" s="70"/>
    </row>
    <row r="337" spans="1:7" ht="14.25">
      <c r="A337" s="113"/>
      <c r="B337" s="114"/>
      <c r="D337" s="113"/>
      <c r="E337" s="115"/>
      <c r="F337" s="116"/>
      <c r="G337" s="70"/>
    </row>
    <row r="338" spans="1:7" ht="14.25">
      <c r="A338" s="113"/>
      <c r="B338" s="114"/>
      <c r="D338" s="113"/>
      <c r="E338" s="115"/>
      <c r="F338" s="116"/>
      <c r="G338" s="70"/>
    </row>
    <row r="339" spans="1:7" ht="14.25">
      <c r="A339" s="113"/>
      <c r="B339" s="114"/>
      <c r="D339" s="113"/>
      <c r="E339" s="115"/>
      <c r="F339" s="116"/>
      <c r="G339" s="70"/>
    </row>
    <row r="340" spans="1:7" ht="14.25">
      <c r="A340" s="113"/>
      <c r="B340" s="114"/>
      <c r="D340" s="113"/>
      <c r="E340" s="115"/>
      <c r="F340" s="116"/>
      <c r="G340" s="70"/>
    </row>
    <row r="341" spans="1:7" ht="14.25">
      <c r="A341" s="113"/>
      <c r="B341" s="114"/>
      <c r="D341" s="113"/>
      <c r="E341" s="115"/>
      <c r="F341" s="116"/>
      <c r="G341" s="70"/>
    </row>
    <row r="342" spans="1:7" ht="14.25">
      <c r="A342" s="113"/>
      <c r="B342" s="114"/>
      <c r="D342" s="113"/>
      <c r="E342" s="115"/>
      <c r="F342" s="116"/>
      <c r="G342" s="70"/>
    </row>
    <row r="343" spans="1:7" ht="14.25">
      <c r="A343" s="113"/>
      <c r="B343" s="114"/>
      <c r="D343" s="113"/>
      <c r="E343" s="115"/>
      <c r="F343" s="116"/>
      <c r="G343" s="70"/>
    </row>
    <row r="344" spans="1:7" ht="14.25">
      <c r="A344" s="113"/>
      <c r="B344" s="114"/>
      <c r="D344" s="113"/>
      <c r="E344" s="115"/>
      <c r="F344" s="116"/>
      <c r="G344" s="70"/>
    </row>
  </sheetData>
  <sheetProtection/>
  <mergeCells count="63">
    <mergeCell ref="G10:G11"/>
    <mergeCell ref="D42:E42"/>
    <mergeCell ref="A37:A48"/>
    <mergeCell ref="D37:E37"/>
    <mergeCell ref="D38:E38"/>
    <mergeCell ref="D43:E43"/>
    <mergeCell ref="D44:E44"/>
    <mergeCell ref="D45:E45"/>
    <mergeCell ref="D40:E40"/>
    <mergeCell ref="D48:E48"/>
    <mergeCell ref="A2:E2"/>
    <mergeCell ref="D19:E19"/>
    <mergeCell ref="D13:E13"/>
    <mergeCell ref="B12:C12"/>
    <mergeCell ref="D12:E12"/>
    <mergeCell ref="D14:E14"/>
    <mergeCell ref="D17:E17"/>
    <mergeCell ref="A14:A18"/>
    <mergeCell ref="D18:E18"/>
    <mergeCell ref="A7:G7"/>
    <mergeCell ref="I10:J10"/>
    <mergeCell ref="H10:H11"/>
    <mergeCell ref="A20:A33"/>
    <mergeCell ref="D20:E20"/>
    <mergeCell ref="D23:E23"/>
    <mergeCell ref="D21:E21"/>
    <mergeCell ref="D22:E22"/>
    <mergeCell ref="A10:C11"/>
    <mergeCell ref="D10:E11"/>
    <mergeCell ref="F10:F11"/>
    <mergeCell ref="B21:B31"/>
    <mergeCell ref="C25:C30"/>
    <mergeCell ref="D31:E31"/>
    <mergeCell ref="D41:E41"/>
    <mergeCell ref="D32:E32"/>
    <mergeCell ref="D33:E33"/>
    <mergeCell ref="D35:E35"/>
    <mergeCell ref="D36:E36"/>
    <mergeCell ref="D34:E34"/>
    <mergeCell ref="D39:E39"/>
    <mergeCell ref="D50:E50"/>
    <mergeCell ref="D51:E51"/>
    <mergeCell ref="D46:E46"/>
    <mergeCell ref="D47:E47"/>
    <mergeCell ref="D49:E49"/>
    <mergeCell ref="D69:E69"/>
    <mergeCell ref="D52:E52"/>
    <mergeCell ref="D53:E53"/>
    <mergeCell ref="D66:E66"/>
    <mergeCell ref="D56:E56"/>
    <mergeCell ref="D57:E57"/>
    <mergeCell ref="D54:E54"/>
    <mergeCell ref="D55:E55"/>
    <mergeCell ref="A61:A69"/>
    <mergeCell ref="D59:E59"/>
    <mergeCell ref="D61:E61"/>
    <mergeCell ref="D62:E62"/>
    <mergeCell ref="D63:E63"/>
    <mergeCell ref="D65:E65"/>
    <mergeCell ref="D60:E60"/>
    <mergeCell ref="D68:E68"/>
    <mergeCell ref="D67:E67"/>
    <mergeCell ref="D64:E64"/>
  </mergeCells>
  <printOptions/>
  <pageMargins left="1.4173228346456694" right="0.2362204724409449" top="0.3937007874015748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F250"/>
  <sheetViews>
    <sheetView zoomScalePageLayoutView="0" workbookViewId="0" topLeftCell="A204">
      <selection activeCell="A1" sqref="A1:M239"/>
    </sheetView>
  </sheetViews>
  <sheetFormatPr defaultColWidth="9.140625" defaultRowHeight="12.75"/>
  <cols>
    <col min="1" max="1" width="3.57421875" style="14" customWidth="1"/>
    <col min="2" max="2" width="3.28125" style="14" customWidth="1"/>
    <col min="3" max="3" width="3.421875" style="14" customWidth="1"/>
    <col min="4" max="4" width="5.8515625" style="14" customWidth="1"/>
    <col min="5" max="5" width="37.28125" style="34" customWidth="1"/>
    <col min="6" max="6" width="6.140625" style="14" customWidth="1"/>
    <col min="7" max="7" width="16.8515625" style="24" customWidth="1"/>
    <col min="8" max="8" width="16.140625" style="24" customWidth="1"/>
    <col min="9" max="9" width="13.28125" style="24" customWidth="1"/>
    <col min="10" max="10" width="13.421875" style="25" customWidth="1"/>
    <col min="11" max="11" width="10.00390625" style="25" customWidth="1"/>
    <col min="12" max="12" width="13.8515625" style="24" hidden="1" customWidth="1"/>
    <col min="13" max="13" width="13.28125" style="24" hidden="1" customWidth="1"/>
    <col min="14" max="14" width="11.421875" style="24" customWidth="1"/>
    <col min="15" max="15" width="10.57421875" style="24" bestFit="1" customWidth="1"/>
    <col min="16" max="16384" width="9.140625" style="24" customWidth="1"/>
  </cols>
  <sheetData>
    <row r="1" spans="1:11" s="22" customFormat="1" ht="15.75">
      <c r="A1" s="1" t="s">
        <v>0</v>
      </c>
      <c r="B1" s="2"/>
      <c r="C1" s="3"/>
      <c r="D1" s="2"/>
      <c r="E1" s="19"/>
      <c r="F1" s="20"/>
      <c r="G1" s="21"/>
      <c r="H1" s="21"/>
      <c r="J1" s="36"/>
      <c r="K1" s="36"/>
    </row>
    <row r="2" spans="1:10" ht="15.75">
      <c r="A2" s="481" t="s">
        <v>1</v>
      </c>
      <c r="B2" s="481"/>
      <c r="C2" s="481"/>
      <c r="D2" s="481"/>
      <c r="E2" s="481"/>
      <c r="F2" s="18"/>
      <c r="G2" s="23"/>
      <c r="H2" s="23"/>
      <c r="J2" s="322" t="s">
        <v>180</v>
      </c>
    </row>
    <row r="3" spans="1:9" ht="15.75">
      <c r="A3" s="26" t="s">
        <v>2</v>
      </c>
      <c r="B3" s="2"/>
      <c r="C3" s="3"/>
      <c r="D3" s="2"/>
      <c r="E3" s="19"/>
      <c r="F3" s="18"/>
      <c r="G3" s="23"/>
      <c r="H3" s="23"/>
      <c r="I3" s="23"/>
    </row>
    <row r="4" spans="1:9" ht="15.75">
      <c r="A4" s="26" t="s">
        <v>3</v>
      </c>
      <c r="B4" s="2"/>
      <c r="C4" s="3"/>
      <c r="D4" s="2"/>
      <c r="E4" s="19"/>
      <c r="F4" s="18"/>
      <c r="G4" s="23"/>
      <c r="H4" s="23"/>
      <c r="I4" s="42"/>
    </row>
    <row r="5" spans="1:9" ht="15.75">
      <c r="A5" s="26"/>
      <c r="B5" s="2"/>
      <c r="C5" s="3"/>
      <c r="D5" s="2"/>
      <c r="E5" s="19"/>
      <c r="F5" s="18"/>
      <c r="G5" s="23"/>
      <c r="H5" s="23"/>
      <c r="I5" s="28"/>
    </row>
    <row r="6" spans="1:9" ht="15.75">
      <c r="A6" s="26"/>
      <c r="B6" s="2"/>
      <c r="C6" s="3"/>
      <c r="D6" s="2"/>
      <c r="E6" s="19"/>
      <c r="F6" s="18"/>
      <c r="G6" s="23"/>
      <c r="H6" s="23"/>
      <c r="I6" s="28"/>
    </row>
    <row r="7" spans="1:9" ht="15.75">
      <c r="A7" s="4"/>
      <c r="B7" s="4"/>
      <c r="C7" s="4"/>
      <c r="D7" s="4"/>
      <c r="E7" s="29"/>
      <c r="F7" s="18"/>
      <c r="G7" s="23"/>
      <c r="H7" s="23"/>
      <c r="I7" s="23"/>
    </row>
    <row r="8" spans="1:11" ht="33" customHeight="1">
      <c r="A8" s="483" t="s">
        <v>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</row>
    <row r="9" spans="1:11" ht="18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9" ht="15.75">
      <c r="A10" s="4"/>
      <c r="B10" s="4"/>
      <c r="C10" s="4"/>
      <c r="D10" s="4"/>
      <c r="E10" s="41"/>
      <c r="F10" s="18"/>
      <c r="G10" s="23"/>
      <c r="H10" s="23"/>
      <c r="I10" s="28"/>
    </row>
    <row r="11" spans="1:11" ht="15">
      <c r="A11" s="5"/>
      <c r="B11" s="5"/>
      <c r="C11" s="5"/>
      <c r="D11" s="5"/>
      <c r="E11" s="30"/>
      <c r="F11" s="18"/>
      <c r="G11" s="32"/>
      <c r="H11" s="32"/>
      <c r="I11" s="31"/>
      <c r="K11" s="265" t="s">
        <v>250</v>
      </c>
    </row>
    <row r="12" spans="1:14" ht="29.25" customHeight="1">
      <c r="A12" s="482"/>
      <c r="B12" s="482"/>
      <c r="C12" s="482"/>
      <c r="D12" s="482" t="s">
        <v>5</v>
      </c>
      <c r="E12" s="482"/>
      <c r="F12" s="482" t="s">
        <v>6</v>
      </c>
      <c r="G12" s="506" t="s">
        <v>568</v>
      </c>
      <c r="H12" s="506"/>
      <c r="I12" s="506"/>
      <c r="J12" s="484" t="s">
        <v>570</v>
      </c>
      <c r="K12" s="480" t="s">
        <v>251</v>
      </c>
      <c r="L12" s="509" t="s">
        <v>518</v>
      </c>
      <c r="M12" s="506" t="s">
        <v>584</v>
      </c>
      <c r="N12" s="467"/>
    </row>
    <row r="13" spans="1:14" ht="22.5" customHeight="1">
      <c r="A13" s="482"/>
      <c r="B13" s="482"/>
      <c r="C13" s="482"/>
      <c r="D13" s="482"/>
      <c r="E13" s="482"/>
      <c r="F13" s="482"/>
      <c r="G13" s="480" t="s">
        <v>172</v>
      </c>
      <c r="H13" s="480"/>
      <c r="I13" s="480" t="s">
        <v>178</v>
      </c>
      <c r="J13" s="485"/>
      <c r="K13" s="480"/>
      <c r="L13" s="478"/>
      <c r="M13" s="506"/>
      <c r="N13" s="467"/>
    </row>
    <row r="14" spans="1:14" ht="40.5" customHeight="1">
      <c r="A14" s="482"/>
      <c r="B14" s="482"/>
      <c r="C14" s="482"/>
      <c r="D14" s="482"/>
      <c r="E14" s="482"/>
      <c r="F14" s="482"/>
      <c r="G14" s="377" t="s">
        <v>569</v>
      </c>
      <c r="H14" s="377" t="s">
        <v>540</v>
      </c>
      <c r="I14" s="480"/>
      <c r="J14" s="486"/>
      <c r="K14" s="480"/>
      <c r="L14" s="479"/>
      <c r="M14" s="506"/>
      <c r="N14" s="467"/>
    </row>
    <row r="15" spans="1:13" s="35" customFormat="1" ht="13.5" customHeight="1">
      <c r="A15" s="17">
        <v>0</v>
      </c>
      <c r="B15" s="507">
        <v>1</v>
      </c>
      <c r="C15" s="507"/>
      <c r="D15" s="508">
        <v>2</v>
      </c>
      <c r="E15" s="508"/>
      <c r="F15" s="17">
        <v>3</v>
      </c>
      <c r="G15" s="378">
        <v>4</v>
      </c>
      <c r="H15" s="378" t="s">
        <v>179</v>
      </c>
      <c r="I15" s="378">
        <v>5</v>
      </c>
      <c r="J15" s="378">
        <v>6</v>
      </c>
      <c r="K15" s="378" t="s">
        <v>517</v>
      </c>
      <c r="L15" s="378">
        <v>8</v>
      </c>
      <c r="M15" s="378">
        <v>9</v>
      </c>
    </row>
    <row r="16" spans="1:14" s="27" customFormat="1" ht="25.5" customHeight="1">
      <c r="A16" s="8" t="s">
        <v>7</v>
      </c>
      <c r="B16" s="8"/>
      <c r="C16" s="8"/>
      <c r="D16" s="505" t="s">
        <v>181</v>
      </c>
      <c r="E16" s="505"/>
      <c r="F16" s="8">
        <v>1</v>
      </c>
      <c r="G16" s="379">
        <f>G17+G41+G47</f>
        <v>2451043.87</v>
      </c>
      <c r="H16" s="379"/>
      <c r="I16" s="379">
        <f>I17+I41+I47</f>
        <v>3758935.0800000005</v>
      </c>
      <c r="J16" s="379">
        <f>J17+J41+J47</f>
        <v>4212131.09</v>
      </c>
      <c r="K16" s="379">
        <f>J16/I16*100</f>
        <v>112.05650005532948</v>
      </c>
      <c r="L16" s="379">
        <f>L17+L41+L47</f>
        <v>4258019.756399999</v>
      </c>
      <c r="M16" s="379">
        <f>M17+M41+M47</f>
        <v>4310148.4880295</v>
      </c>
      <c r="N16" s="317"/>
    </row>
    <row r="17" spans="1:13" s="27" customFormat="1" ht="38.25" customHeight="1">
      <c r="A17" s="500"/>
      <c r="B17" s="61">
        <v>1</v>
      </c>
      <c r="C17" s="8"/>
      <c r="D17" s="505" t="s">
        <v>189</v>
      </c>
      <c r="E17" s="505"/>
      <c r="F17" s="8">
        <v>2</v>
      </c>
      <c r="G17" s="379">
        <f>G18+G25+G26+G31+G32+G33</f>
        <v>2234510.62</v>
      </c>
      <c r="H17" s="379"/>
      <c r="I17" s="379">
        <f>I18+I25+I26+I31+I32+I33</f>
        <v>3494588.1500000004</v>
      </c>
      <c r="J17" s="379">
        <f>J18+J25+J26+J31+J32+J33</f>
        <v>3901369.5</v>
      </c>
      <c r="K17" s="379">
        <f>J17/I17*100</f>
        <v>111.64032305208839</v>
      </c>
      <c r="L17" s="379">
        <f>L18+L25+L26+L31+L32+L33</f>
        <v>3938867.6034699995</v>
      </c>
      <c r="M17" s="379">
        <f>M18+M25+M26+M31+M32+M33</f>
        <v>3983017.53127625</v>
      </c>
    </row>
    <row r="18" spans="1:13" ht="31.5" customHeight="1">
      <c r="A18" s="500"/>
      <c r="B18" s="500"/>
      <c r="C18" s="7" t="s">
        <v>8</v>
      </c>
      <c r="D18" s="502" t="s">
        <v>9</v>
      </c>
      <c r="E18" s="502"/>
      <c r="F18" s="7">
        <v>3</v>
      </c>
      <c r="G18" s="330">
        <f>G19+G20+G23+G24</f>
        <v>1029898.8</v>
      </c>
      <c r="H18" s="330"/>
      <c r="I18" s="330">
        <f>I19+I20+I23+I24</f>
        <v>995852.01</v>
      </c>
      <c r="J18" s="330">
        <f>J19+J20+J23+J24</f>
        <v>1031724.6599999999</v>
      </c>
      <c r="K18" s="330">
        <f>J18/I18*100</f>
        <v>103.60220691827493</v>
      </c>
      <c r="L18" s="330">
        <f>L19+L20+L23+L24</f>
        <v>1033879.96042</v>
      </c>
      <c r="M18" s="330">
        <f>M19+M20+M23+M24</f>
        <v>1035958.21</v>
      </c>
    </row>
    <row r="19" spans="1:13" ht="21" customHeight="1">
      <c r="A19" s="500"/>
      <c r="B19" s="500"/>
      <c r="C19" s="7"/>
      <c r="D19" s="12" t="s">
        <v>10</v>
      </c>
      <c r="E19" s="12" t="s">
        <v>11</v>
      </c>
      <c r="F19" s="7">
        <v>4</v>
      </c>
      <c r="G19" s="330">
        <v>0</v>
      </c>
      <c r="H19" s="380"/>
      <c r="I19" s="330">
        <v>6.36</v>
      </c>
      <c r="J19" s="330">
        <v>30.2</v>
      </c>
      <c r="K19" s="330"/>
      <c r="L19" s="381"/>
      <c r="M19" s="381"/>
    </row>
    <row r="20" spans="1:13" ht="15.75" customHeight="1">
      <c r="A20" s="500"/>
      <c r="B20" s="500"/>
      <c r="C20" s="7"/>
      <c r="D20" s="12" t="s">
        <v>12</v>
      </c>
      <c r="E20" s="12" t="s">
        <v>13</v>
      </c>
      <c r="F20" s="7">
        <v>5</v>
      </c>
      <c r="G20" s="330">
        <f>G21+G22</f>
        <v>933655.4</v>
      </c>
      <c r="H20" s="330"/>
      <c r="I20" s="330">
        <f>I21+I22</f>
        <v>911345.65</v>
      </c>
      <c r="J20" s="330">
        <f>J21+J22</f>
        <v>950750</v>
      </c>
      <c r="K20" s="330">
        <f>J20/I20*100</f>
        <v>104.32375465883882</v>
      </c>
      <c r="L20" s="330">
        <f>L21+L22</f>
        <v>950750</v>
      </c>
      <c r="M20" s="330">
        <f>M21+M22</f>
        <v>950750</v>
      </c>
    </row>
    <row r="21" spans="1:13" s="33" customFormat="1" ht="26.25" customHeight="1">
      <c r="A21" s="500"/>
      <c r="B21" s="500"/>
      <c r="C21" s="7"/>
      <c r="D21" s="12"/>
      <c r="E21" s="37" t="s">
        <v>14</v>
      </c>
      <c r="F21" s="7" t="s">
        <v>182</v>
      </c>
      <c r="G21" s="330">
        <v>840990.4</v>
      </c>
      <c r="H21" s="380"/>
      <c r="I21" s="330">
        <v>815749.37</v>
      </c>
      <c r="J21" s="330">
        <v>859500</v>
      </c>
      <c r="K21" s="330">
        <f>J21/I21*100</f>
        <v>105.36324410523297</v>
      </c>
      <c r="L21" s="330">
        <f>J21</f>
        <v>859500</v>
      </c>
      <c r="M21" s="330">
        <f>J21</f>
        <v>859500</v>
      </c>
    </row>
    <row r="22" spans="1:15" s="33" customFormat="1" ht="26.25" customHeight="1">
      <c r="A22" s="500"/>
      <c r="B22" s="500"/>
      <c r="C22" s="7"/>
      <c r="D22" s="12"/>
      <c r="E22" s="37" t="s">
        <v>15</v>
      </c>
      <c r="F22" s="7" t="s">
        <v>183</v>
      </c>
      <c r="G22" s="330">
        <v>92665</v>
      </c>
      <c r="H22" s="380"/>
      <c r="I22" s="330">
        <v>95596.28</v>
      </c>
      <c r="J22" s="330">
        <v>91250</v>
      </c>
      <c r="K22" s="330">
        <f>J22/I22*100</f>
        <v>95.45350509454971</v>
      </c>
      <c r="L22" s="330">
        <f>J22</f>
        <v>91250</v>
      </c>
      <c r="M22" s="330">
        <f>J22</f>
        <v>91250</v>
      </c>
      <c r="O22" s="313"/>
    </row>
    <row r="23" spans="1:13" ht="15.75" customHeight="1">
      <c r="A23" s="500"/>
      <c r="B23" s="500"/>
      <c r="C23" s="7"/>
      <c r="D23" s="12" t="s">
        <v>16</v>
      </c>
      <c r="E23" s="12" t="s">
        <v>17</v>
      </c>
      <c r="F23" s="7">
        <v>6</v>
      </c>
      <c r="G23" s="330">
        <v>96243.4</v>
      </c>
      <c r="H23" s="380"/>
      <c r="I23" s="330">
        <v>84500</v>
      </c>
      <c r="J23" s="330">
        <v>80944.46</v>
      </c>
      <c r="K23" s="330">
        <f>J23/I23*100</f>
        <v>95.79226035502958</v>
      </c>
      <c r="L23" s="382">
        <f>J23*1.027</f>
        <v>83129.96042</v>
      </c>
      <c r="M23" s="382">
        <v>85208.21</v>
      </c>
    </row>
    <row r="24" spans="1:13" ht="15.75" customHeight="1">
      <c r="A24" s="500"/>
      <c r="B24" s="500"/>
      <c r="C24" s="7"/>
      <c r="D24" s="12" t="s">
        <v>18</v>
      </c>
      <c r="E24" s="12" t="s">
        <v>19</v>
      </c>
      <c r="F24" s="7">
        <v>7</v>
      </c>
      <c r="G24" s="330"/>
      <c r="H24" s="380"/>
      <c r="I24" s="330"/>
      <c r="J24" s="330"/>
      <c r="K24" s="330"/>
      <c r="L24" s="382"/>
      <c r="M24" s="382"/>
    </row>
    <row r="25" spans="1:13" ht="21.75" customHeight="1">
      <c r="A25" s="500"/>
      <c r="B25" s="500"/>
      <c r="C25" s="7" t="s">
        <v>20</v>
      </c>
      <c r="D25" s="502" t="s">
        <v>21</v>
      </c>
      <c r="E25" s="502"/>
      <c r="F25" s="7">
        <v>8</v>
      </c>
      <c r="G25" s="330">
        <v>57.24</v>
      </c>
      <c r="H25" s="380"/>
      <c r="I25" s="330">
        <v>0</v>
      </c>
      <c r="J25" s="330">
        <v>32</v>
      </c>
      <c r="K25" s="330"/>
      <c r="L25" s="382">
        <f>J25*1.027</f>
        <v>32.864</v>
      </c>
      <c r="M25" s="382">
        <v>33.69</v>
      </c>
    </row>
    <row r="26" spans="1:13" ht="43.5" customHeight="1">
      <c r="A26" s="500"/>
      <c r="B26" s="500"/>
      <c r="C26" s="7" t="s">
        <v>22</v>
      </c>
      <c r="D26" s="502" t="s">
        <v>23</v>
      </c>
      <c r="E26" s="502"/>
      <c r="F26" s="7">
        <v>9</v>
      </c>
      <c r="G26" s="330">
        <f>G27+G28</f>
        <v>935253</v>
      </c>
      <c r="H26" s="330"/>
      <c r="I26" s="330">
        <f>I27+I28</f>
        <v>821835.65</v>
      </c>
      <c r="J26" s="330">
        <f>J27+J28</f>
        <v>1220000</v>
      </c>
      <c r="K26" s="330">
        <f>J26/I26*100</f>
        <v>148.44817208890854</v>
      </c>
      <c r="L26" s="330">
        <f>L27+L28</f>
        <v>1252793</v>
      </c>
      <c r="M26" s="330">
        <f>M27+M28</f>
        <v>1292440</v>
      </c>
    </row>
    <row r="27" spans="1:13" ht="27.75" customHeight="1">
      <c r="A27" s="500"/>
      <c r="B27" s="500"/>
      <c r="C27" s="500"/>
      <c r="D27" s="11" t="s">
        <v>24</v>
      </c>
      <c r="E27" s="13" t="s">
        <v>25</v>
      </c>
      <c r="F27" s="7">
        <v>10</v>
      </c>
      <c r="G27" s="330"/>
      <c r="H27" s="330"/>
      <c r="I27" s="330"/>
      <c r="J27" s="330"/>
      <c r="K27" s="330"/>
      <c r="L27" s="382"/>
      <c r="M27" s="382"/>
    </row>
    <row r="28" spans="1:13" ht="30" customHeight="1">
      <c r="A28" s="500"/>
      <c r="B28" s="500"/>
      <c r="C28" s="500"/>
      <c r="D28" s="11" t="s">
        <v>26</v>
      </c>
      <c r="E28" s="13" t="s">
        <v>186</v>
      </c>
      <c r="F28" s="7">
        <v>11</v>
      </c>
      <c r="G28" s="330">
        <f>G29+G30</f>
        <v>935253</v>
      </c>
      <c r="H28" s="330"/>
      <c r="I28" s="330">
        <f>I29+I30</f>
        <v>821835.65</v>
      </c>
      <c r="J28" s="330">
        <f>J29+J30</f>
        <v>1220000</v>
      </c>
      <c r="K28" s="330">
        <f aca="true" t="shared" si="0" ref="K28:K36">J28/I28*100</f>
        <v>148.44817208890854</v>
      </c>
      <c r="L28" s="330">
        <f>L29+L30</f>
        <v>1252793</v>
      </c>
      <c r="M28" s="330">
        <f>M29+M30</f>
        <v>1292440</v>
      </c>
    </row>
    <row r="29" spans="1:13" s="33" customFormat="1" ht="37.5" customHeight="1">
      <c r="A29" s="500"/>
      <c r="B29" s="500"/>
      <c r="C29" s="7"/>
      <c r="D29" s="11" t="s">
        <v>27</v>
      </c>
      <c r="E29" s="37" t="s">
        <v>28</v>
      </c>
      <c r="F29" s="7" t="s">
        <v>184</v>
      </c>
      <c r="G29" s="330">
        <v>85253</v>
      </c>
      <c r="H29" s="380"/>
      <c r="I29" s="330">
        <v>65599.01</v>
      </c>
      <c r="J29" s="330">
        <v>150000</v>
      </c>
      <c r="K29" s="330">
        <f t="shared" si="0"/>
        <v>228.66198742938346</v>
      </c>
      <c r="L29" s="330">
        <v>154032</v>
      </c>
      <c r="M29" s="330">
        <v>156861</v>
      </c>
    </row>
    <row r="30" spans="1:13" s="33" customFormat="1" ht="32.25" customHeight="1">
      <c r="A30" s="500"/>
      <c r="B30" s="500"/>
      <c r="C30" s="7"/>
      <c r="D30" s="11" t="s">
        <v>29</v>
      </c>
      <c r="E30" s="37" t="s">
        <v>30</v>
      </c>
      <c r="F30" s="7" t="s">
        <v>185</v>
      </c>
      <c r="G30" s="330">
        <v>850000</v>
      </c>
      <c r="H30" s="380"/>
      <c r="I30" s="330">
        <v>756236.64</v>
      </c>
      <c r="J30" s="330">
        <v>1070000</v>
      </c>
      <c r="K30" s="330">
        <f t="shared" si="0"/>
        <v>141.49010288631348</v>
      </c>
      <c r="L30" s="330">
        <v>1098761</v>
      </c>
      <c r="M30" s="330">
        <v>1135579</v>
      </c>
    </row>
    <row r="31" spans="1:13" ht="18.75" customHeight="1">
      <c r="A31" s="500"/>
      <c r="B31" s="500"/>
      <c r="C31" s="7" t="s">
        <v>31</v>
      </c>
      <c r="D31" s="502" t="s">
        <v>32</v>
      </c>
      <c r="E31" s="502"/>
      <c r="F31" s="7">
        <v>12</v>
      </c>
      <c r="G31" s="330">
        <v>0</v>
      </c>
      <c r="H31" s="380"/>
      <c r="I31" s="330">
        <v>203.54</v>
      </c>
      <c r="J31" s="330">
        <v>0</v>
      </c>
      <c r="K31" s="330">
        <f t="shared" si="0"/>
        <v>0</v>
      </c>
      <c r="L31" s="382">
        <v>0</v>
      </c>
      <c r="M31" s="382">
        <v>0</v>
      </c>
    </row>
    <row r="32" spans="1:13" ht="27.75" customHeight="1">
      <c r="A32" s="500"/>
      <c r="B32" s="500"/>
      <c r="C32" s="7" t="s">
        <v>33</v>
      </c>
      <c r="D32" s="502" t="s">
        <v>34</v>
      </c>
      <c r="E32" s="502"/>
      <c r="F32" s="7">
        <v>13</v>
      </c>
      <c r="G32" s="330">
        <v>239.12</v>
      </c>
      <c r="H32" s="380"/>
      <c r="I32" s="330">
        <v>253.07</v>
      </c>
      <c r="J32" s="330">
        <v>255</v>
      </c>
      <c r="K32" s="330">
        <f t="shared" si="0"/>
        <v>100.76263484411427</v>
      </c>
      <c r="L32" s="382">
        <f>J32*1.027</f>
        <v>261.885</v>
      </c>
      <c r="M32" s="382">
        <f>L32*1.025</f>
        <v>268.432125</v>
      </c>
    </row>
    <row r="33" spans="1:13" ht="46.5" customHeight="1">
      <c r="A33" s="500"/>
      <c r="B33" s="7"/>
      <c r="C33" s="7" t="s">
        <v>35</v>
      </c>
      <c r="D33" s="502" t="s">
        <v>188</v>
      </c>
      <c r="E33" s="502"/>
      <c r="F33" s="7">
        <v>14</v>
      </c>
      <c r="G33" s="330">
        <f>G34+G35+G38+G39+G40</f>
        <v>269062.46</v>
      </c>
      <c r="H33" s="330"/>
      <c r="I33" s="330">
        <f>I34+I35+I38+I39+I40</f>
        <v>1676443.88</v>
      </c>
      <c r="J33" s="330">
        <f>J34+J35+J38+J39+J40</f>
        <v>1649357.8399999999</v>
      </c>
      <c r="K33" s="330">
        <f t="shared" si="0"/>
        <v>98.38431573384968</v>
      </c>
      <c r="L33" s="330">
        <f>L34+L35+L38+L39+L40</f>
        <v>1651899.8940499998</v>
      </c>
      <c r="M33" s="330">
        <f>M34+M35+M38+M39+M40</f>
        <v>1654317.19915125</v>
      </c>
    </row>
    <row r="34" spans="1:15" ht="18" customHeight="1">
      <c r="A34" s="500"/>
      <c r="B34" s="7"/>
      <c r="C34" s="7"/>
      <c r="D34" s="12" t="s">
        <v>36</v>
      </c>
      <c r="E34" s="12" t="s">
        <v>37</v>
      </c>
      <c r="F34" s="7">
        <v>15</v>
      </c>
      <c r="G34" s="330">
        <v>20586.37</v>
      </c>
      <c r="H34" s="380"/>
      <c r="I34" s="330">
        <v>55896.62</v>
      </c>
      <c r="J34" s="330">
        <v>24340.54</v>
      </c>
      <c r="K34" s="330">
        <f t="shared" si="0"/>
        <v>43.54563835881311</v>
      </c>
      <c r="L34" s="382">
        <f>J34*1.027</f>
        <v>24997.73458</v>
      </c>
      <c r="M34" s="382">
        <f>L34*1.025</f>
        <v>25622.6779445</v>
      </c>
      <c r="O34" s="120"/>
    </row>
    <row r="35" spans="1:13" ht="32.25" customHeight="1">
      <c r="A35" s="500"/>
      <c r="B35" s="7"/>
      <c r="C35" s="7"/>
      <c r="D35" s="12" t="s">
        <v>38</v>
      </c>
      <c r="E35" s="12" t="s">
        <v>571</v>
      </c>
      <c r="F35" s="7">
        <v>16</v>
      </c>
      <c r="G35" s="330">
        <f>G36+G37</f>
        <v>4543.02</v>
      </c>
      <c r="H35" s="380"/>
      <c r="I35" s="330">
        <f>I36+I37</f>
        <v>2364.14</v>
      </c>
      <c r="J35" s="330">
        <f>J36+J37</f>
        <v>23439.97</v>
      </c>
      <c r="K35" s="330">
        <f t="shared" si="0"/>
        <v>991.4797770013621</v>
      </c>
      <c r="L35" s="330">
        <f>L36+L37</f>
        <v>24072.84919</v>
      </c>
      <c r="M35" s="330">
        <f>M36+M37</f>
        <v>24674.67041975</v>
      </c>
    </row>
    <row r="36" spans="1:13" ht="12.75">
      <c r="A36" s="500"/>
      <c r="B36" s="7"/>
      <c r="C36" s="7"/>
      <c r="D36" s="12"/>
      <c r="E36" s="12" t="s">
        <v>40</v>
      </c>
      <c r="F36" s="7">
        <v>17</v>
      </c>
      <c r="G36" s="330">
        <v>4543.02</v>
      </c>
      <c r="H36" s="380"/>
      <c r="I36" s="330">
        <v>2364.14</v>
      </c>
      <c r="J36" s="330">
        <v>23439.97</v>
      </c>
      <c r="K36" s="330">
        <f t="shared" si="0"/>
        <v>991.4797770013621</v>
      </c>
      <c r="L36" s="382">
        <f>J36*1.027</f>
        <v>24072.84919</v>
      </c>
      <c r="M36" s="382">
        <f>L36*1.025</f>
        <v>24674.67041975</v>
      </c>
    </row>
    <row r="37" spans="1:13" ht="12.75">
      <c r="A37" s="500"/>
      <c r="B37" s="7"/>
      <c r="C37" s="7"/>
      <c r="D37" s="12"/>
      <c r="E37" s="12" t="s">
        <v>41</v>
      </c>
      <c r="F37" s="7">
        <v>18</v>
      </c>
      <c r="G37" s="330"/>
      <c r="H37" s="380"/>
      <c r="I37" s="330"/>
      <c r="J37" s="330"/>
      <c r="K37" s="330"/>
      <c r="L37" s="382"/>
      <c r="M37" s="382"/>
    </row>
    <row r="38" spans="1:13" ht="12.75">
      <c r="A38" s="500"/>
      <c r="B38" s="7"/>
      <c r="C38" s="7"/>
      <c r="D38" s="12" t="s">
        <v>42</v>
      </c>
      <c r="E38" s="12" t="s">
        <v>43</v>
      </c>
      <c r="F38" s="7">
        <v>19</v>
      </c>
      <c r="G38" s="330">
        <v>204706.68</v>
      </c>
      <c r="H38" s="380"/>
      <c r="I38" s="330">
        <v>1546098.64</v>
      </c>
      <c r="J38" s="330">
        <v>1555207.69</v>
      </c>
      <c r="K38" s="330">
        <f>J38/I38*100</f>
        <v>100.58916357367728</v>
      </c>
      <c r="L38" s="382">
        <f>J38</f>
        <v>1555207.69</v>
      </c>
      <c r="M38" s="382">
        <f>L38</f>
        <v>1555207.69</v>
      </c>
    </row>
    <row r="39" spans="1:13" ht="16.5" customHeight="1">
      <c r="A39" s="500"/>
      <c r="B39" s="7"/>
      <c r="C39" s="7"/>
      <c r="D39" s="12" t="s">
        <v>44</v>
      </c>
      <c r="E39" s="12" t="s">
        <v>45</v>
      </c>
      <c r="F39" s="7">
        <v>20</v>
      </c>
      <c r="G39" s="330"/>
      <c r="H39" s="380"/>
      <c r="I39" s="330"/>
      <c r="J39" s="330"/>
      <c r="K39" s="330"/>
      <c r="L39" s="382"/>
      <c r="M39" s="382"/>
    </row>
    <row r="40" spans="1:13" ht="16.5" customHeight="1">
      <c r="A40" s="500"/>
      <c r="B40" s="7"/>
      <c r="C40" s="7"/>
      <c r="D40" s="12" t="s">
        <v>46</v>
      </c>
      <c r="E40" s="12" t="s">
        <v>19</v>
      </c>
      <c r="F40" s="7">
        <v>21</v>
      </c>
      <c r="G40" s="330">
        <v>39226.39</v>
      </c>
      <c r="H40" s="380"/>
      <c r="I40" s="330">
        <f>71869.56+214.92</f>
        <v>72084.48</v>
      </c>
      <c r="J40" s="330">
        <v>46369.64</v>
      </c>
      <c r="K40" s="330">
        <f>J40/I40*100</f>
        <v>64.3268009979402</v>
      </c>
      <c r="L40" s="382">
        <f>J40*1.027</f>
        <v>47621.620279999996</v>
      </c>
      <c r="M40" s="382">
        <f>L40*1.025</f>
        <v>48812.16078699999</v>
      </c>
    </row>
    <row r="41" spans="1:13" s="27" customFormat="1" ht="27.75" customHeight="1">
      <c r="A41" s="500"/>
      <c r="B41" s="8">
        <v>2</v>
      </c>
      <c r="C41" s="8"/>
      <c r="D41" s="505" t="s">
        <v>187</v>
      </c>
      <c r="E41" s="505"/>
      <c r="F41" s="8">
        <v>22</v>
      </c>
      <c r="G41" s="379">
        <f>G44+G45+G46</f>
        <v>216533.24999999997</v>
      </c>
      <c r="H41" s="379"/>
      <c r="I41" s="379">
        <f>I44+I45+I46</f>
        <v>264346.93000000005</v>
      </c>
      <c r="J41" s="379">
        <f>J44+J45+J46</f>
        <v>310761.58999999997</v>
      </c>
      <c r="K41" s="379">
        <f>J41/I41*100</f>
        <v>117.55823682158892</v>
      </c>
      <c r="L41" s="379">
        <f>L44+L45+L46</f>
        <v>319152.15293</v>
      </c>
      <c r="M41" s="379">
        <f>M44+M45+M46</f>
        <v>327130.95675325</v>
      </c>
    </row>
    <row r="42" spans="1:13" ht="24.75" customHeight="1">
      <c r="A42" s="500"/>
      <c r="B42" s="500"/>
      <c r="C42" s="7" t="s">
        <v>8</v>
      </c>
      <c r="D42" s="502" t="s">
        <v>47</v>
      </c>
      <c r="E42" s="502"/>
      <c r="F42" s="7">
        <v>23</v>
      </c>
      <c r="G42" s="330"/>
      <c r="H42" s="330"/>
      <c r="I42" s="330"/>
      <c r="J42" s="330"/>
      <c r="K42" s="330"/>
      <c r="L42" s="382"/>
      <c r="M42" s="382"/>
    </row>
    <row r="43" spans="1:13" ht="20.25" customHeight="1">
      <c r="A43" s="500"/>
      <c r="B43" s="500"/>
      <c r="C43" s="7" t="s">
        <v>20</v>
      </c>
      <c r="D43" s="502" t="s">
        <v>48</v>
      </c>
      <c r="E43" s="502"/>
      <c r="F43" s="7">
        <v>24</v>
      </c>
      <c r="G43" s="330"/>
      <c r="H43" s="330"/>
      <c r="I43" s="330"/>
      <c r="J43" s="330"/>
      <c r="K43" s="330"/>
      <c r="L43" s="382"/>
      <c r="M43" s="382"/>
    </row>
    <row r="44" spans="1:13" ht="19.5" customHeight="1">
      <c r="A44" s="500"/>
      <c r="B44" s="500"/>
      <c r="C44" s="7" t="s">
        <v>22</v>
      </c>
      <c r="D44" s="502" t="s">
        <v>49</v>
      </c>
      <c r="E44" s="502"/>
      <c r="F44" s="7">
        <v>25</v>
      </c>
      <c r="G44" s="330">
        <v>215609.36</v>
      </c>
      <c r="H44" s="380"/>
      <c r="I44" s="330">
        <v>263598.07</v>
      </c>
      <c r="J44" s="330">
        <v>310000</v>
      </c>
      <c r="K44" s="330">
        <f aca="true" t="shared" si="1" ref="K44:K55">J44/I44*100</f>
        <v>117.60328897703994</v>
      </c>
      <c r="L44" s="382">
        <f>J44*1.027</f>
        <v>318370</v>
      </c>
      <c r="M44" s="382">
        <f>L44*1.025</f>
        <v>326329.25</v>
      </c>
    </row>
    <row r="45" spans="1:13" ht="16.5" customHeight="1">
      <c r="A45" s="500"/>
      <c r="B45" s="500"/>
      <c r="C45" s="7" t="s">
        <v>31</v>
      </c>
      <c r="D45" s="502" t="s">
        <v>50</v>
      </c>
      <c r="E45" s="502"/>
      <c r="F45" s="7">
        <v>26</v>
      </c>
      <c r="G45" s="330">
        <v>475.21</v>
      </c>
      <c r="H45" s="380"/>
      <c r="I45" s="330">
        <v>331.65</v>
      </c>
      <c r="J45" s="330">
        <v>337.29</v>
      </c>
      <c r="K45" s="330">
        <f t="shared" si="1"/>
        <v>101.70058796924471</v>
      </c>
      <c r="L45" s="382">
        <f>J45*1.027</f>
        <v>346.39682999999997</v>
      </c>
      <c r="M45" s="382">
        <f>L45*1.025</f>
        <v>355.05675074999994</v>
      </c>
    </row>
    <row r="46" spans="1:13" ht="17.25" customHeight="1">
      <c r="A46" s="500"/>
      <c r="B46" s="500"/>
      <c r="C46" s="7" t="s">
        <v>33</v>
      </c>
      <c r="D46" s="502" t="s">
        <v>51</v>
      </c>
      <c r="E46" s="502"/>
      <c r="F46" s="7">
        <v>27</v>
      </c>
      <c r="G46" s="330">
        <v>448.68</v>
      </c>
      <c r="H46" s="380"/>
      <c r="I46" s="330">
        <v>417.21</v>
      </c>
      <c r="J46" s="330">
        <v>424.3</v>
      </c>
      <c r="K46" s="330">
        <f t="shared" si="1"/>
        <v>101.69938400325975</v>
      </c>
      <c r="L46" s="382">
        <f>J46*1.027</f>
        <v>435.75609999999995</v>
      </c>
      <c r="M46" s="382">
        <f>L46*1.025</f>
        <v>446.6500024999999</v>
      </c>
    </row>
    <row r="47" spans="1:13" s="27" customFormat="1" ht="17.25" customHeight="1">
      <c r="A47" s="500"/>
      <c r="B47" s="8">
        <v>3</v>
      </c>
      <c r="C47" s="8"/>
      <c r="D47" s="505" t="s">
        <v>52</v>
      </c>
      <c r="E47" s="505"/>
      <c r="F47" s="8">
        <v>28</v>
      </c>
      <c r="G47" s="379">
        <v>0</v>
      </c>
      <c r="H47" s="383"/>
      <c r="I47" s="379">
        <v>0</v>
      </c>
      <c r="J47" s="379">
        <v>0</v>
      </c>
      <c r="K47" s="379"/>
      <c r="L47" s="384">
        <f>J47*1.03</f>
        <v>0</v>
      </c>
      <c r="M47" s="384">
        <f>L47*1.027</f>
        <v>0</v>
      </c>
    </row>
    <row r="48" spans="1:13" s="27" customFormat="1" ht="21" customHeight="1">
      <c r="A48" s="8" t="s">
        <v>53</v>
      </c>
      <c r="B48" s="505" t="s">
        <v>192</v>
      </c>
      <c r="C48" s="505"/>
      <c r="D48" s="505"/>
      <c r="E48" s="505"/>
      <c r="F48" s="8">
        <v>29</v>
      </c>
      <c r="G48" s="379">
        <f>G49+G164+G172</f>
        <v>2344177.87</v>
      </c>
      <c r="H48" s="379"/>
      <c r="I48" s="379">
        <f>I49+I164+I172</f>
        <v>3648935.0799999996</v>
      </c>
      <c r="J48" s="379">
        <f>J49+J164+J172</f>
        <v>4212131.09</v>
      </c>
      <c r="K48" s="379">
        <f t="shared" si="1"/>
        <v>115.43453083303416</v>
      </c>
      <c r="L48" s="379">
        <f>L49+L164+L172</f>
        <v>4258019.75592</v>
      </c>
      <c r="M48" s="379">
        <f>M49+M164+M172</f>
        <v>4310148.486567999</v>
      </c>
    </row>
    <row r="49" spans="1:13" s="27" customFormat="1" ht="32.25" customHeight="1">
      <c r="A49" s="500"/>
      <c r="B49" s="8">
        <v>1</v>
      </c>
      <c r="C49" s="505" t="s">
        <v>193</v>
      </c>
      <c r="D49" s="505"/>
      <c r="E49" s="505"/>
      <c r="F49" s="8">
        <v>30</v>
      </c>
      <c r="G49" s="379">
        <f>G52+G104+G113+G147</f>
        <v>2127049.87</v>
      </c>
      <c r="H49" s="379"/>
      <c r="I49" s="379">
        <f>I52+I104+I113+I147</f>
        <v>3382142.6799999997</v>
      </c>
      <c r="J49" s="379">
        <f>J52+J104+J113+J147</f>
        <v>3904612.9699999997</v>
      </c>
      <c r="K49" s="379">
        <f t="shared" si="1"/>
        <v>115.44790801078801</v>
      </c>
      <c r="L49" s="379">
        <f>L52+L104+L113+L147</f>
        <v>3942198.6466800002</v>
      </c>
      <c r="M49" s="379">
        <f>M52+M104+M113+M147</f>
        <v>3986431.8495969996</v>
      </c>
    </row>
    <row r="50" spans="1:13" s="33" customFormat="1" ht="18.75" customHeight="1">
      <c r="A50" s="500"/>
      <c r="B50" s="38"/>
      <c r="C50" s="39"/>
      <c r="D50" s="39"/>
      <c r="E50" s="39" t="s">
        <v>54</v>
      </c>
      <c r="F50" s="38" t="s">
        <v>190</v>
      </c>
      <c r="G50" s="330">
        <f>G54+G65+G111</f>
        <v>85253</v>
      </c>
      <c r="H50" s="330"/>
      <c r="I50" s="330">
        <f>I54+I65+I111</f>
        <v>61962.61</v>
      </c>
      <c r="J50" s="330">
        <f>J54+J65+J111</f>
        <v>150000</v>
      </c>
      <c r="K50" s="330">
        <f t="shared" si="1"/>
        <v>242.08147461832223</v>
      </c>
      <c r="L50" s="330">
        <f>L54+L65+L111</f>
        <v>154032</v>
      </c>
      <c r="M50" s="330">
        <f>M54+M65+M111</f>
        <v>156861</v>
      </c>
    </row>
    <row r="51" spans="1:13" s="33" customFormat="1" ht="21.75" customHeight="1">
      <c r="A51" s="500"/>
      <c r="B51" s="38"/>
      <c r="C51" s="39"/>
      <c r="D51" s="39"/>
      <c r="E51" s="39" t="s">
        <v>55</v>
      </c>
      <c r="F51" s="38" t="s">
        <v>191</v>
      </c>
      <c r="G51" s="330">
        <f>G55+G66+G112</f>
        <v>118999.99999999999</v>
      </c>
      <c r="H51" s="330"/>
      <c r="I51" s="330">
        <f>I55+I66+I112</f>
        <v>65561.95</v>
      </c>
      <c r="J51" s="330">
        <f>J55+J66+J112</f>
        <v>95000</v>
      </c>
      <c r="K51" s="330">
        <f t="shared" si="1"/>
        <v>144.90112023818696</v>
      </c>
      <c r="L51" s="330">
        <f>L55+L66+L112</f>
        <v>123761.004</v>
      </c>
      <c r="M51" s="330">
        <f>M55+M66+M112</f>
        <v>160579.00400000002</v>
      </c>
    </row>
    <row r="52" spans="1:13" ht="27.75" customHeight="1">
      <c r="A52" s="500"/>
      <c r="B52" s="500"/>
      <c r="C52" s="502" t="s">
        <v>199</v>
      </c>
      <c r="D52" s="502"/>
      <c r="E52" s="502"/>
      <c r="F52" s="7">
        <v>31</v>
      </c>
      <c r="G52" s="330">
        <f>G53+G63+G71</f>
        <v>834438.51</v>
      </c>
      <c r="H52" s="330"/>
      <c r="I52" s="330">
        <f>I53+I63+I71</f>
        <v>640377.8300000001</v>
      </c>
      <c r="J52" s="330">
        <f>J53+J63+J71</f>
        <v>1042198.56</v>
      </c>
      <c r="K52" s="330">
        <f t="shared" si="1"/>
        <v>162.7474455197801</v>
      </c>
      <c r="L52" s="330">
        <f>L53+L63+L71</f>
        <v>1072167.6911199999</v>
      </c>
      <c r="M52" s="330">
        <f>M53+M63+M71</f>
        <v>1109158.123398</v>
      </c>
    </row>
    <row r="53" spans="1:15" ht="42.75" customHeight="1">
      <c r="A53" s="500"/>
      <c r="B53" s="500"/>
      <c r="C53" s="7" t="s">
        <v>56</v>
      </c>
      <c r="D53" s="502" t="s">
        <v>196</v>
      </c>
      <c r="E53" s="502"/>
      <c r="F53" s="7">
        <v>32</v>
      </c>
      <c r="G53" s="330">
        <f>G56+G57+G60+G61+G62</f>
        <v>270693.04</v>
      </c>
      <c r="H53" s="330"/>
      <c r="I53" s="330">
        <f>I56+I57+I60+I61+I62</f>
        <v>194927.47</v>
      </c>
      <c r="J53" s="330">
        <f>J56+J57+J60+J61+J62</f>
        <v>345558.11</v>
      </c>
      <c r="K53" s="330">
        <f t="shared" si="1"/>
        <v>177.27522447195358</v>
      </c>
      <c r="L53" s="330">
        <f>L56+L57+L60+L61+L62</f>
        <v>349888.17896999995</v>
      </c>
      <c r="M53" s="330">
        <f>M56+M57+M60+M61+M62</f>
        <v>358635.3834442499</v>
      </c>
      <c r="O53" s="120"/>
    </row>
    <row r="54" spans="1:15" s="33" customFormat="1" ht="26.25" customHeight="1">
      <c r="A54" s="500"/>
      <c r="B54" s="500"/>
      <c r="C54" s="38"/>
      <c r="D54" s="39"/>
      <c r="E54" s="39" t="s">
        <v>54</v>
      </c>
      <c r="F54" s="38" t="s">
        <v>194</v>
      </c>
      <c r="G54" s="330">
        <v>7903.23</v>
      </c>
      <c r="H54" s="380"/>
      <c r="I54" s="330">
        <v>4266.03</v>
      </c>
      <c r="J54" s="330">
        <v>35666.67</v>
      </c>
      <c r="K54" s="330">
        <f t="shared" si="1"/>
        <v>836.0623343014465</v>
      </c>
      <c r="L54" s="330">
        <f>J54/J29*L29</f>
        <v>36625.3900896</v>
      </c>
      <c r="M54" s="330">
        <f>J54/J29*M29</f>
        <v>37298.0634858</v>
      </c>
      <c r="O54" s="313"/>
    </row>
    <row r="55" spans="1:15" s="33" customFormat="1" ht="32.25" customHeight="1">
      <c r="A55" s="500"/>
      <c r="B55" s="500"/>
      <c r="C55" s="38"/>
      <c r="D55" s="39"/>
      <c r="E55" s="39" t="s">
        <v>55</v>
      </c>
      <c r="F55" s="38" t="s">
        <v>195</v>
      </c>
      <c r="G55" s="330">
        <v>44354.84</v>
      </c>
      <c r="H55" s="380"/>
      <c r="I55" s="330">
        <v>19273.68</v>
      </c>
      <c r="J55" s="330">
        <v>43175</v>
      </c>
      <c r="K55" s="330">
        <f t="shared" si="1"/>
        <v>224.0101527056587</v>
      </c>
      <c r="L55" s="330">
        <f>J55</f>
        <v>43175</v>
      </c>
      <c r="M55" s="330">
        <f>L55</f>
        <v>43175</v>
      </c>
      <c r="O55" s="313"/>
    </row>
    <row r="56" spans="1:13" ht="24.75" customHeight="1">
      <c r="A56" s="500"/>
      <c r="B56" s="500"/>
      <c r="C56" s="7" t="s">
        <v>8</v>
      </c>
      <c r="D56" s="502" t="s">
        <v>57</v>
      </c>
      <c r="E56" s="502"/>
      <c r="F56" s="7">
        <v>33</v>
      </c>
      <c r="G56" s="330"/>
      <c r="H56" s="380"/>
      <c r="I56" s="330"/>
      <c r="J56" s="330"/>
      <c r="K56" s="330"/>
      <c r="L56" s="382"/>
      <c r="M56" s="382"/>
    </row>
    <row r="57" spans="1:15" ht="30.75" customHeight="1">
      <c r="A57" s="500"/>
      <c r="B57" s="500"/>
      <c r="C57" s="7" t="s">
        <v>20</v>
      </c>
      <c r="D57" s="502" t="s">
        <v>58</v>
      </c>
      <c r="E57" s="502"/>
      <c r="F57" s="7">
        <v>34</v>
      </c>
      <c r="G57" s="330">
        <v>167249.27</v>
      </c>
      <c r="H57" s="330"/>
      <c r="I57" s="330">
        <v>95262.62</v>
      </c>
      <c r="J57" s="330">
        <f>251901.11-6000-1000</f>
        <v>244901.11</v>
      </c>
      <c r="K57" s="330">
        <f aca="true" t="shared" si="2" ref="K57:K71">J57/I57*100</f>
        <v>257.0799648382545</v>
      </c>
      <c r="L57" s="382">
        <f>J57*1.027-5000</f>
        <v>246513.43996999998</v>
      </c>
      <c r="M57" s="382">
        <f aca="true" t="shared" si="3" ref="M57:M62">L57*1.025</f>
        <v>252676.27596924995</v>
      </c>
      <c r="O57" s="120"/>
    </row>
    <row r="58" spans="1:15" ht="12.75">
      <c r="A58" s="500"/>
      <c r="B58" s="500"/>
      <c r="C58" s="7"/>
      <c r="D58" s="12" t="s">
        <v>59</v>
      </c>
      <c r="E58" s="12" t="s">
        <v>60</v>
      </c>
      <c r="F58" s="7">
        <v>35</v>
      </c>
      <c r="G58" s="330">
        <v>6000</v>
      </c>
      <c r="H58" s="380"/>
      <c r="I58" s="330">
        <v>4549.51</v>
      </c>
      <c r="J58" s="330">
        <v>2100</v>
      </c>
      <c r="K58" s="330">
        <f t="shared" si="2"/>
        <v>46.158817103380365</v>
      </c>
      <c r="L58" s="382">
        <f>J58*1.027</f>
        <v>2156.7</v>
      </c>
      <c r="M58" s="382">
        <f t="shared" si="3"/>
        <v>2210.6175</v>
      </c>
      <c r="O58" s="120"/>
    </row>
    <row r="59" spans="1:13" ht="12.75">
      <c r="A59" s="500"/>
      <c r="B59" s="500"/>
      <c r="C59" s="7"/>
      <c r="D59" s="12" t="s">
        <v>61</v>
      </c>
      <c r="E59" s="12" t="s">
        <v>62</v>
      </c>
      <c r="F59" s="7">
        <v>36</v>
      </c>
      <c r="G59" s="330">
        <v>30711.53</v>
      </c>
      <c r="H59" s="380"/>
      <c r="I59" s="330">
        <v>27950</v>
      </c>
      <c r="J59" s="330">
        <v>28394.97</v>
      </c>
      <c r="K59" s="330">
        <f t="shared" si="2"/>
        <v>101.59202146690521</v>
      </c>
      <c r="L59" s="382">
        <f>J59*1.027</f>
        <v>29161.634189999997</v>
      </c>
      <c r="M59" s="382">
        <f t="shared" si="3"/>
        <v>29890.675044749994</v>
      </c>
    </row>
    <row r="60" spans="1:13" ht="31.5" customHeight="1">
      <c r="A60" s="500"/>
      <c r="B60" s="500"/>
      <c r="C60" s="7" t="s">
        <v>22</v>
      </c>
      <c r="D60" s="502" t="s">
        <v>63</v>
      </c>
      <c r="E60" s="502"/>
      <c r="F60" s="7">
        <v>37</v>
      </c>
      <c r="G60" s="330">
        <v>6000</v>
      </c>
      <c r="H60" s="380"/>
      <c r="I60" s="330">
        <v>5774.84</v>
      </c>
      <c r="J60" s="330">
        <v>6000</v>
      </c>
      <c r="K60" s="330">
        <f t="shared" si="2"/>
        <v>103.89898248263154</v>
      </c>
      <c r="L60" s="382">
        <f>J60*1.027</f>
        <v>6161.999999999999</v>
      </c>
      <c r="M60" s="382">
        <f t="shared" si="3"/>
        <v>6316.049999999998</v>
      </c>
    </row>
    <row r="61" spans="1:13" ht="22.5" customHeight="1">
      <c r="A61" s="500"/>
      <c r="B61" s="500"/>
      <c r="C61" s="7" t="s">
        <v>31</v>
      </c>
      <c r="D61" s="503" t="s">
        <v>64</v>
      </c>
      <c r="E61" s="503"/>
      <c r="F61" s="7">
        <v>38</v>
      </c>
      <c r="G61" s="330">
        <v>94443.77</v>
      </c>
      <c r="H61" s="380"/>
      <c r="I61" s="330">
        <v>93250</v>
      </c>
      <c r="J61" s="330">
        <v>93657</v>
      </c>
      <c r="K61" s="330">
        <f t="shared" si="2"/>
        <v>100.43646112600537</v>
      </c>
      <c r="L61" s="382">
        <f>J61*1.027</f>
        <v>96185.73899999999</v>
      </c>
      <c r="M61" s="382">
        <f t="shared" si="3"/>
        <v>98590.38247499998</v>
      </c>
    </row>
    <row r="62" spans="1:13" ht="23.25" customHeight="1">
      <c r="A62" s="500"/>
      <c r="B62" s="500"/>
      <c r="C62" s="7" t="s">
        <v>33</v>
      </c>
      <c r="D62" s="502" t="s">
        <v>65</v>
      </c>
      <c r="E62" s="502"/>
      <c r="F62" s="7">
        <v>39</v>
      </c>
      <c r="G62" s="330">
        <v>3000</v>
      </c>
      <c r="H62" s="380"/>
      <c r="I62" s="330">
        <v>640.01</v>
      </c>
      <c r="J62" s="330">
        <v>1000</v>
      </c>
      <c r="K62" s="330">
        <f t="shared" si="2"/>
        <v>156.2475586318964</v>
      </c>
      <c r="L62" s="382">
        <f>J62*1.027</f>
        <v>1027</v>
      </c>
      <c r="M62" s="382">
        <f t="shared" si="3"/>
        <v>1052.675</v>
      </c>
    </row>
    <row r="63" spans="1:16" ht="44.25" customHeight="1">
      <c r="A63" s="500"/>
      <c r="B63" s="500"/>
      <c r="C63" s="7" t="s">
        <v>66</v>
      </c>
      <c r="D63" s="502" t="s">
        <v>200</v>
      </c>
      <c r="E63" s="502"/>
      <c r="F63" s="7">
        <v>40</v>
      </c>
      <c r="G63" s="330">
        <f>G64+G67+G70</f>
        <v>159408.63</v>
      </c>
      <c r="H63" s="330"/>
      <c r="I63" s="330">
        <f>I64+I67+I70</f>
        <v>107009.44</v>
      </c>
      <c r="J63" s="330">
        <f>J64+J67+J70</f>
        <v>232874.13999999998</v>
      </c>
      <c r="K63" s="330">
        <f t="shared" si="2"/>
        <v>217.6201837893928</v>
      </c>
      <c r="L63" s="330">
        <f>L64+L67+L70</f>
        <v>246505.01177999994</v>
      </c>
      <c r="M63" s="330">
        <f>M64+M67+M70</f>
        <v>262853.87707449996</v>
      </c>
      <c r="O63" s="120"/>
      <c r="P63" s="120"/>
    </row>
    <row r="64" spans="1:15" ht="25.5" customHeight="1">
      <c r="A64" s="500"/>
      <c r="B64" s="500"/>
      <c r="C64" s="40" t="s">
        <v>8</v>
      </c>
      <c r="D64" s="502" t="s">
        <v>67</v>
      </c>
      <c r="E64" s="502"/>
      <c r="F64" s="7">
        <v>41</v>
      </c>
      <c r="G64" s="330">
        <v>155893.22</v>
      </c>
      <c r="H64" s="380"/>
      <c r="I64" s="330">
        <v>104785.64</v>
      </c>
      <c r="J64" s="330">
        <v>228625</v>
      </c>
      <c r="K64" s="330">
        <f t="shared" si="2"/>
        <v>218.18352209329447</v>
      </c>
      <c r="L64" s="382">
        <f>J64*1.027+23967.5-10000-6624.23</f>
        <v>242141.14499999996</v>
      </c>
      <c r="M64" s="382">
        <f>L64*1.025+30681.67-20000-495.43</f>
        <v>258380.91362499993</v>
      </c>
      <c r="N64" s="120"/>
      <c r="O64" s="120"/>
    </row>
    <row r="65" spans="1:13" s="33" customFormat="1" ht="17.25" customHeight="1">
      <c r="A65" s="500"/>
      <c r="B65" s="500"/>
      <c r="C65" s="38"/>
      <c r="D65" s="39"/>
      <c r="E65" s="39" t="s">
        <v>54</v>
      </c>
      <c r="F65" s="38" t="s">
        <v>197</v>
      </c>
      <c r="G65" s="330">
        <v>60849.2</v>
      </c>
      <c r="H65" s="380"/>
      <c r="I65" s="330">
        <v>45000</v>
      </c>
      <c r="J65" s="330">
        <v>89333.33</v>
      </c>
      <c r="K65" s="330">
        <f t="shared" si="2"/>
        <v>198.5185111111111</v>
      </c>
      <c r="L65" s="330">
        <f>J65/J29*L29</f>
        <v>91734.6099104</v>
      </c>
      <c r="M65" s="330">
        <f>J65/J29*M29</f>
        <v>93419.4365142</v>
      </c>
    </row>
    <row r="66" spans="1:13" s="33" customFormat="1" ht="21.75" customHeight="1">
      <c r="A66" s="500"/>
      <c r="B66" s="500"/>
      <c r="C66" s="38"/>
      <c r="D66" s="39"/>
      <c r="E66" s="39" t="s">
        <v>55</v>
      </c>
      <c r="F66" s="38" t="s">
        <v>198</v>
      </c>
      <c r="G66" s="330">
        <v>51612.9</v>
      </c>
      <c r="H66" s="380"/>
      <c r="I66" s="330">
        <v>31158.18</v>
      </c>
      <c r="J66" s="330">
        <v>35991.67</v>
      </c>
      <c r="K66" s="330">
        <f t="shared" si="2"/>
        <v>115.51274817720419</v>
      </c>
      <c r="L66" s="330">
        <f>J66+28761/1.2</f>
        <v>59959.17</v>
      </c>
      <c r="M66" s="330">
        <f>L66+36818/1.2</f>
        <v>90640.83666666667</v>
      </c>
    </row>
    <row r="67" spans="1:13" ht="29.25" customHeight="1">
      <c r="A67" s="500"/>
      <c r="B67" s="500"/>
      <c r="C67" s="40" t="s">
        <v>68</v>
      </c>
      <c r="D67" s="502" t="s">
        <v>201</v>
      </c>
      <c r="E67" s="502"/>
      <c r="F67" s="7">
        <v>42</v>
      </c>
      <c r="G67" s="330">
        <f>G68+G69</f>
        <v>1780.63</v>
      </c>
      <c r="H67" s="330"/>
      <c r="I67" s="330">
        <f>I68+I69</f>
        <v>1373.8</v>
      </c>
      <c r="J67" s="330">
        <f>J68+J69</f>
        <v>1701.02</v>
      </c>
      <c r="K67" s="330">
        <f t="shared" si="2"/>
        <v>123.81860532828651</v>
      </c>
      <c r="L67" s="382">
        <f>L68+L69</f>
        <v>1746.9475399999997</v>
      </c>
      <c r="M67" s="382">
        <f>M68+M69</f>
        <v>1790.6212284999997</v>
      </c>
    </row>
    <row r="68" spans="1:13" s="25" customFormat="1" ht="29.25" customHeight="1">
      <c r="A68" s="500"/>
      <c r="B68" s="500"/>
      <c r="C68" s="40"/>
      <c r="D68" s="12" t="s">
        <v>59</v>
      </c>
      <c r="E68" s="12" t="s">
        <v>69</v>
      </c>
      <c r="F68" s="7">
        <v>43</v>
      </c>
      <c r="G68" s="330">
        <v>1379.93</v>
      </c>
      <c r="H68" s="380"/>
      <c r="I68" s="330">
        <v>1063.75</v>
      </c>
      <c r="J68" s="330">
        <v>1385.51</v>
      </c>
      <c r="K68" s="330">
        <f t="shared" si="2"/>
        <v>130.24770857814337</v>
      </c>
      <c r="L68" s="330">
        <f>J68*1.027</f>
        <v>1422.9187699999998</v>
      </c>
      <c r="M68" s="330">
        <f>L68*1.025</f>
        <v>1458.4917392499997</v>
      </c>
    </row>
    <row r="69" spans="1:13" s="25" customFormat="1" ht="21" customHeight="1">
      <c r="A69" s="500"/>
      <c r="B69" s="500"/>
      <c r="C69" s="40"/>
      <c r="D69" s="12" t="s">
        <v>61</v>
      </c>
      <c r="E69" s="12" t="s">
        <v>70</v>
      </c>
      <c r="F69" s="7">
        <v>44</v>
      </c>
      <c r="G69" s="330">
        <v>400.7</v>
      </c>
      <c r="H69" s="380"/>
      <c r="I69" s="330">
        <v>310.05</v>
      </c>
      <c r="J69" s="330">
        <v>315.51</v>
      </c>
      <c r="K69" s="330">
        <f t="shared" si="2"/>
        <v>101.76100628930817</v>
      </c>
      <c r="L69" s="330">
        <f>J69*1.027</f>
        <v>324.02876999999995</v>
      </c>
      <c r="M69" s="330">
        <f>L69*1.025</f>
        <v>332.12948924999995</v>
      </c>
    </row>
    <row r="70" spans="1:13" ht="18.75" customHeight="1">
      <c r="A70" s="500"/>
      <c r="B70" s="500"/>
      <c r="C70" s="40" t="s">
        <v>22</v>
      </c>
      <c r="D70" s="502" t="s">
        <v>71</v>
      </c>
      <c r="E70" s="502"/>
      <c r="F70" s="7">
        <v>45</v>
      </c>
      <c r="G70" s="330">
        <v>1734.78</v>
      </c>
      <c r="H70" s="380"/>
      <c r="I70" s="330">
        <v>850</v>
      </c>
      <c r="J70" s="330">
        <v>2548.12</v>
      </c>
      <c r="K70" s="330">
        <f t="shared" si="2"/>
        <v>299.77882352941174</v>
      </c>
      <c r="L70" s="330">
        <f>J70*1.027</f>
        <v>2616.9192399999997</v>
      </c>
      <c r="M70" s="330">
        <f>L70*1.025</f>
        <v>2682.3422209999994</v>
      </c>
    </row>
    <row r="71" spans="1:13" ht="48.75" customHeight="1">
      <c r="A71" s="500"/>
      <c r="B71" s="500"/>
      <c r="C71" s="40" t="s">
        <v>72</v>
      </c>
      <c r="D71" s="502" t="s">
        <v>202</v>
      </c>
      <c r="E71" s="502"/>
      <c r="F71" s="7">
        <v>46</v>
      </c>
      <c r="G71" s="330">
        <f>G72+G73+G75+G82+G87+G88+G92+G93+G94+G103</f>
        <v>404336.83999999997</v>
      </c>
      <c r="H71" s="330"/>
      <c r="I71" s="330">
        <f>I72+I73+I75+I82+I87+I88+I92+I93+I94+I103</f>
        <v>338440.92000000004</v>
      </c>
      <c r="J71" s="330">
        <f>J72+J73+J75+J82+J87+J88+J92+J93+J94+J103</f>
        <v>463766.31</v>
      </c>
      <c r="K71" s="330">
        <f t="shared" si="2"/>
        <v>137.03021194954792</v>
      </c>
      <c r="L71" s="330">
        <f>L72+L73+L75+L82+L87+L88+L92+L93+L94+L103</f>
        <v>475774.50036999997</v>
      </c>
      <c r="M71" s="330">
        <f>M72+M73+M75+M82+M87+M88+M92+M93+M94+M103</f>
        <v>487668.86287924997</v>
      </c>
    </row>
    <row r="72" spans="1:13" ht="22.5" customHeight="1">
      <c r="A72" s="500"/>
      <c r="B72" s="500"/>
      <c r="C72" s="40" t="s">
        <v>8</v>
      </c>
      <c r="D72" s="502" t="s">
        <v>73</v>
      </c>
      <c r="E72" s="502"/>
      <c r="F72" s="7">
        <v>47</v>
      </c>
      <c r="G72" s="330">
        <v>0</v>
      </c>
      <c r="H72" s="330"/>
      <c r="I72" s="330"/>
      <c r="J72" s="330"/>
      <c r="K72" s="330"/>
      <c r="L72" s="382"/>
      <c r="M72" s="382"/>
    </row>
    <row r="73" spans="1:13" ht="30" customHeight="1">
      <c r="A73" s="500"/>
      <c r="B73" s="500"/>
      <c r="C73" s="40" t="s">
        <v>20</v>
      </c>
      <c r="D73" s="502" t="s">
        <v>74</v>
      </c>
      <c r="E73" s="502"/>
      <c r="F73" s="7">
        <v>48</v>
      </c>
      <c r="G73" s="330">
        <v>2557.66</v>
      </c>
      <c r="H73" s="380"/>
      <c r="I73" s="330">
        <v>1168.52</v>
      </c>
      <c r="J73" s="330">
        <f>1508.24+850</f>
        <v>2358.24</v>
      </c>
      <c r="K73" s="330">
        <f>J73/I73*100</f>
        <v>201.8142607743128</v>
      </c>
      <c r="L73" s="382">
        <f>J73*1.027</f>
        <v>2421.9124799999995</v>
      </c>
      <c r="M73" s="382">
        <f>L73*1.025</f>
        <v>2482.4602919999993</v>
      </c>
    </row>
    <row r="74" spans="1:13" ht="27" customHeight="1">
      <c r="A74" s="500"/>
      <c r="B74" s="500"/>
      <c r="C74" s="40"/>
      <c r="D74" s="13" t="s">
        <v>59</v>
      </c>
      <c r="E74" s="13" t="s">
        <v>75</v>
      </c>
      <c r="F74" s="7">
        <v>49</v>
      </c>
      <c r="G74" s="330">
        <v>0</v>
      </c>
      <c r="H74" s="380"/>
      <c r="I74" s="330"/>
      <c r="J74" s="330">
        <v>850</v>
      </c>
      <c r="K74" s="330"/>
      <c r="L74" s="382"/>
      <c r="M74" s="382"/>
    </row>
    <row r="75" spans="1:13" ht="28.5" customHeight="1">
      <c r="A75" s="500"/>
      <c r="B75" s="500"/>
      <c r="C75" s="40" t="s">
        <v>22</v>
      </c>
      <c r="D75" s="502" t="s">
        <v>203</v>
      </c>
      <c r="E75" s="502"/>
      <c r="F75" s="7">
        <v>50</v>
      </c>
      <c r="G75" s="330">
        <f>G76+G78</f>
        <v>40</v>
      </c>
      <c r="H75" s="330"/>
      <c r="I75" s="330">
        <f>I76+I78</f>
        <v>40</v>
      </c>
      <c r="J75" s="330">
        <f>J76+J78</f>
        <v>42.8</v>
      </c>
      <c r="K75" s="330">
        <f>J75/I75*100</f>
        <v>106.99999999999999</v>
      </c>
      <c r="L75" s="382">
        <f>L76+L78</f>
        <v>43.9556</v>
      </c>
      <c r="M75" s="382">
        <f>M76+M78</f>
        <v>45.054489999999994</v>
      </c>
    </row>
    <row r="76" spans="1:13" ht="20.25" customHeight="1">
      <c r="A76" s="500"/>
      <c r="B76" s="500"/>
      <c r="C76" s="40"/>
      <c r="D76" s="13" t="s">
        <v>76</v>
      </c>
      <c r="E76" s="13" t="s">
        <v>77</v>
      </c>
      <c r="F76" s="7">
        <v>51</v>
      </c>
      <c r="G76" s="330">
        <v>40</v>
      </c>
      <c r="H76" s="330"/>
      <c r="I76" s="330">
        <v>40</v>
      </c>
      <c r="J76" s="330">
        <v>42.8</v>
      </c>
      <c r="K76" s="330">
        <f>J76/I76*100</f>
        <v>106.99999999999999</v>
      </c>
      <c r="L76" s="382">
        <f>J76*1.027</f>
        <v>43.9556</v>
      </c>
      <c r="M76" s="382">
        <f>L76*1.025</f>
        <v>45.054489999999994</v>
      </c>
    </row>
    <row r="77" spans="1:13" ht="43.5" customHeight="1">
      <c r="A77" s="500"/>
      <c r="B77" s="500"/>
      <c r="C77" s="40"/>
      <c r="D77" s="13"/>
      <c r="E77" s="13" t="s">
        <v>78</v>
      </c>
      <c r="F77" s="7">
        <v>52</v>
      </c>
      <c r="G77" s="330"/>
      <c r="H77" s="330"/>
      <c r="I77" s="330"/>
      <c r="J77" s="330"/>
      <c r="K77" s="330"/>
      <c r="L77" s="382"/>
      <c r="M77" s="382"/>
    </row>
    <row r="78" spans="1:13" ht="28.5" customHeight="1">
      <c r="A78" s="500"/>
      <c r="B78" s="500"/>
      <c r="C78" s="40"/>
      <c r="D78" s="13" t="s">
        <v>79</v>
      </c>
      <c r="E78" s="13" t="s">
        <v>80</v>
      </c>
      <c r="F78" s="7">
        <v>53</v>
      </c>
      <c r="G78" s="330">
        <v>0</v>
      </c>
      <c r="H78" s="330"/>
      <c r="I78" s="330"/>
      <c r="J78" s="330"/>
      <c r="K78" s="330"/>
      <c r="L78" s="382"/>
      <c r="M78" s="382"/>
    </row>
    <row r="79" spans="1:13" ht="55.5" customHeight="1">
      <c r="A79" s="500"/>
      <c r="B79" s="500"/>
      <c r="C79" s="40"/>
      <c r="D79" s="13"/>
      <c r="E79" s="13" t="s">
        <v>81</v>
      </c>
      <c r="F79" s="7">
        <v>54</v>
      </c>
      <c r="G79" s="330"/>
      <c r="H79" s="330"/>
      <c r="I79" s="330"/>
      <c r="J79" s="330"/>
      <c r="K79" s="330"/>
      <c r="L79" s="382"/>
      <c r="M79" s="382"/>
    </row>
    <row r="80" spans="1:13" ht="74.25" customHeight="1">
      <c r="A80" s="500"/>
      <c r="B80" s="500"/>
      <c r="C80" s="40"/>
      <c r="D80" s="13"/>
      <c r="E80" s="13" t="s">
        <v>82</v>
      </c>
      <c r="F80" s="7">
        <v>55</v>
      </c>
      <c r="G80" s="330"/>
      <c r="H80" s="330"/>
      <c r="I80" s="330"/>
      <c r="J80" s="330"/>
      <c r="K80" s="330"/>
      <c r="L80" s="382"/>
      <c r="M80" s="382"/>
    </row>
    <row r="81" spans="1:13" ht="21.75" customHeight="1">
      <c r="A81" s="500"/>
      <c r="B81" s="500"/>
      <c r="C81" s="40"/>
      <c r="D81" s="13"/>
      <c r="E81" s="13" t="s">
        <v>83</v>
      </c>
      <c r="F81" s="7">
        <v>56</v>
      </c>
      <c r="G81" s="330"/>
      <c r="H81" s="330"/>
      <c r="I81" s="330"/>
      <c r="J81" s="330"/>
      <c r="K81" s="330"/>
      <c r="L81" s="382"/>
      <c r="M81" s="382"/>
    </row>
    <row r="82" spans="1:13" ht="30.75" customHeight="1">
      <c r="A82" s="500"/>
      <c r="B82" s="500"/>
      <c r="C82" s="40" t="s">
        <v>31</v>
      </c>
      <c r="D82" s="502" t="s">
        <v>204</v>
      </c>
      <c r="E82" s="487"/>
      <c r="F82" s="7">
        <v>57</v>
      </c>
      <c r="G82" s="330">
        <f>G83+G84+G85+G86</f>
        <v>0</v>
      </c>
      <c r="H82" s="330"/>
      <c r="I82" s="330">
        <f>I83+I84+I85+I86</f>
        <v>0</v>
      </c>
      <c r="J82" s="330">
        <v>0</v>
      </c>
      <c r="K82" s="330"/>
      <c r="L82" s="382">
        <v>0</v>
      </c>
      <c r="M82" s="382">
        <v>0</v>
      </c>
    </row>
    <row r="83" spans="1:13" s="25" customFormat="1" ht="29.25" customHeight="1">
      <c r="A83" s="500"/>
      <c r="B83" s="500"/>
      <c r="C83" s="40"/>
      <c r="D83" s="12" t="s">
        <v>84</v>
      </c>
      <c r="E83" s="13" t="s">
        <v>85</v>
      </c>
      <c r="F83" s="7">
        <v>58</v>
      </c>
      <c r="G83" s="330"/>
      <c r="H83" s="330"/>
      <c r="I83" s="330"/>
      <c r="J83" s="330"/>
      <c r="K83" s="330"/>
      <c r="L83" s="385"/>
      <c r="M83" s="385"/>
    </row>
    <row r="84" spans="1:13" s="25" customFormat="1" ht="32.25" customHeight="1">
      <c r="A84" s="500"/>
      <c r="B84" s="500"/>
      <c r="C84" s="40"/>
      <c r="D84" s="12" t="s">
        <v>86</v>
      </c>
      <c r="E84" s="13" t="s">
        <v>87</v>
      </c>
      <c r="F84" s="7">
        <v>59</v>
      </c>
      <c r="G84" s="330"/>
      <c r="H84" s="330"/>
      <c r="I84" s="330"/>
      <c r="J84" s="330"/>
      <c r="K84" s="330"/>
      <c r="L84" s="385"/>
      <c r="M84" s="385"/>
    </row>
    <row r="85" spans="1:13" s="25" customFormat="1" ht="32.25" customHeight="1">
      <c r="A85" s="500"/>
      <c r="B85" s="500"/>
      <c r="C85" s="40"/>
      <c r="D85" s="12" t="s">
        <v>88</v>
      </c>
      <c r="E85" s="13" t="s">
        <v>89</v>
      </c>
      <c r="F85" s="7">
        <v>60</v>
      </c>
      <c r="G85" s="330"/>
      <c r="H85" s="330"/>
      <c r="I85" s="330"/>
      <c r="J85" s="330"/>
      <c r="K85" s="330"/>
      <c r="L85" s="385"/>
      <c r="M85" s="385"/>
    </row>
    <row r="86" spans="1:13" s="25" customFormat="1" ht="21" customHeight="1">
      <c r="A86" s="500"/>
      <c r="B86" s="500"/>
      <c r="C86" s="40"/>
      <c r="D86" s="12" t="s">
        <v>90</v>
      </c>
      <c r="E86" s="13" t="s">
        <v>91</v>
      </c>
      <c r="F86" s="7">
        <v>61</v>
      </c>
      <c r="G86" s="330"/>
      <c r="H86" s="330"/>
      <c r="I86" s="330"/>
      <c r="J86" s="330"/>
      <c r="K86" s="330"/>
      <c r="L86" s="385"/>
      <c r="M86" s="385"/>
    </row>
    <row r="87" spans="1:13" ht="27.75" customHeight="1">
      <c r="A87" s="500"/>
      <c r="B87" s="500"/>
      <c r="C87" s="40" t="s">
        <v>33</v>
      </c>
      <c r="D87" s="502" t="s">
        <v>92</v>
      </c>
      <c r="E87" s="502"/>
      <c r="F87" s="7">
        <v>62</v>
      </c>
      <c r="G87" s="330">
        <v>52707.35</v>
      </c>
      <c r="H87" s="380"/>
      <c r="I87" s="330">
        <v>52707.35</v>
      </c>
      <c r="J87" s="330">
        <v>55026.04</v>
      </c>
      <c r="K87" s="330">
        <f aca="true" t="shared" si="4" ref="K87:K95">J87/I87*100</f>
        <v>104.39917772378995</v>
      </c>
      <c r="L87" s="382">
        <f>J87*1.027</f>
        <v>56511.74307999999</v>
      </c>
      <c r="M87" s="382">
        <f>L87*1.025</f>
        <v>57924.53665699999</v>
      </c>
    </row>
    <row r="88" spans="1:13" ht="29.25" customHeight="1">
      <c r="A88" s="500"/>
      <c r="B88" s="500"/>
      <c r="C88" s="40" t="s">
        <v>35</v>
      </c>
      <c r="D88" s="502" t="s">
        <v>93</v>
      </c>
      <c r="E88" s="502"/>
      <c r="F88" s="7">
        <v>63</v>
      </c>
      <c r="G88" s="330">
        <v>6268.55</v>
      </c>
      <c r="H88" s="380"/>
      <c r="I88" s="330">
        <v>6200.5</v>
      </c>
      <c r="J88" s="330">
        <v>6417.29</v>
      </c>
      <c r="K88" s="330">
        <f t="shared" si="4"/>
        <v>103.49633094105315</v>
      </c>
      <c r="L88" s="382">
        <f>J88*1.027</f>
        <v>6590.5568299999995</v>
      </c>
      <c r="M88" s="382">
        <f>L88*1.025</f>
        <v>6755.320750749999</v>
      </c>
    </row>
    <row r="89" spans="1:13" ht="27" customHeight="1">
      <c r="A89" s="500"/>
      <c r="B89" s="500"/>
      <c r="C89" s="40"/>
      <c r="D89" s="502" t="s">
        <v>205</v>
      </c>
      <c r="E89" s="502"/>
      <c r="F89" s="7">
        <v>64</v>
      </c>
      <c r="G89" s="330">
        <f>G90+G91</f>
        <v>4093.17</v>
      </c>
      <c r="H89" s="330"/>
      <c r="I89" s="330">
        <f>I90+I91</f>
        <v>3915.65</v>
      </c>
      <c r="J89" s="330">
        <f>J90+J91</f>
        <v>5003.59</v>
      </c>
      <c r="K89" s="330">
        <f t="shared" si="4"/>
        <v>127.78440361115014</v>
      </c>
      <c r="L89" s="382">
        <f>L90+L91</f>
        <v>5138.68693</v>
      </c>
      <c r="M89" s="382">
        <f>M90+M91</f>
        <v>5267.15410325</v>
      </c>
    </row>
    <row r="90" spans="1:13" ht="17.25" customHeight="1">
      <c r="A90" s="500"/>
      <c r="B90" s="500"/>
      <c r="C90" s="40"/>
      <c r="D90" s="482" t="s">
        <v>94</v>
      </c>
      <c r="E90" s="482"/>
      <c r="F90" s="7">
        <v>65</v>
      </c>
      <c r="G90" s="330">
        <v>4027.17</v>
      </c>
      <c r="H90" s="380"/>
      <c r="I90" s="330">
        <v>3850.25</v>
      </c>
      <c r="J90" s="330">
        <v>4898.59</v>
      </c>
      <c r="K90" s="330">
        <f t="shared" si="4"/>
        <v>127.2278423478995</v>
      </c>
      <c r="L90" s="382">
        <f>J90*1.027</f>
        <v>5030.85193</v>
      </c>
      <c r="M90" s="382">
        <f>L90*1.025</f>
        <v>5156.62322825</v>
      </c>
    </row>
    <row r="91" spans="1:13" ht="18.75" customHeight="1">
      <c r="A91" s="500"/>
      <c r="B91" s="500"/>
      <c r="C91" s="40"/>
      <c r="D91" s="482" t="s">
        <v>95</v>
      </c>
      <c r="E91" s="482"/>
      <c r="F91" s="7">
        <v>66</v>
      </c>
      <c r="G91" s="330">
        <v>66</v>
      </c>
      <c r="H91" s="380"/>
      <c r="I91" s="330">
        <v>65.4</v>
      </c>
      <c r="J91" s="330">
        <v>105</v>
      </c>
      <c r="K91" s="330">
        <f t="shared" si="4"/>
        <v>160.55045871559633</v>
      </c>
      <c r="L91" s="382">
        <f>J91*1.027</f>
        <v>107.835</v>
      </c>
      <c r="M91" s="382">
        <f>L91*1.025</f>
        <v>110.53087499999998</v>
      </c>
    </row>
    <row r="92" spans="1:13" ht="29.25" customHeight="1">
      <c r="A92" s="500"/>
      <c r="B92" s="500"/>
      <c r="C92" s="40" t="s">
        <v>96</v>
      </c>
      <c r="D92" s="502" t="s">
        <v>97</v>
      </c>
      <c r="E92" s="502"/>
      <c r="F92" s="7">
        <v>67</v>
      </c>
      <c r="G92" s="330">
        <v>1740.91</v>
      </c>
      <c r="H92" s="380"/>
      <c r="I92" s="330">
        <v>1115</v>
      </c>
      <c r="J92" s="330">
        <v>1698.92</v>
      </c>
      <c r="K92" s="330">
        <f t="shared" si="4"/>
        <v>152.36950672645742</v>
      </c>
      <c r="L92" s="382">
        <f>J92*1.027</f>
        <v>1744.79084</v>
      </c>
      <c r="M92" s="382">
        <f>L92*1.025</f>
        <v>1788.4106109999998</v>
      </c>
    </row>
    <row r="93" spans="1:13" ht="29.25" customHeight="1">
      <c r="A93" s="500"/>
      <c r="B93" s="500"/>
      <c r="C93" s="40" t="s">
        <v>98</v>
      </c>
      <c r="D93" s="502" t="s">
        <v>99</v>
      </c>
      <c r="E93" s="502"/>
      <c r="F93" s="7">
        <v>68</v>
      </c>
      <c r="G93" s="330">
        <v>935.08</v>
      </c>
      <c r="H93" s="380"/>
      <c r="I93" s="330">
        <v>715.58</v>
      </c>
      <c r="J93" s="330">
        <v>721.2</v>
      </c>
      <c r="K93" s="330">
        <f t="shared" si="4"/>
        <v>100.78537689706253</v>
      </c>
      <c r="L93" s="382">
        <f>J93*1.027</f>
        <v>740.6724</v>
      </c>
      <c r="M93" s="382">
        <f>L93*1.025</f>
        <v>759.18921</v>
      </c>
    </row>
    <row r="94" spans="1:13" ht="38.25" customHeight="1">
      <c r="A94" s="500"/>
      <c r="B94" s="500"/>
      <c r="C94" s="40" t="s">
        <v>100</v>
      </c>
      <c r="D94" s="502" t="s">
        <v>206</v>
      </c>
      <c r="E94" s="502"/>
      <c r="F94" s="7">
        <v>69</v>
      </c>
      <c r="G94" s="330">
        <f>G95+G96+G97+G98+G100+G101+G102</f>
        <v>195558.82</v>
      </c>
      <c r="H94" s="330"/>
      <c r="I94" s="330">
        <f>I95+I96+I97+I98+I100+I101+I102</f>
        <v>177507.76</v>
      </c>
      <c r="J94" s="330">
        <f>J95+J96+J97+J98+J100+J101+J102</f>
        <v>215423.5</v>
      </c>
      <c r="K94" s="330">
        <f t="shared" si="4"/>
        <v>121.36004645656054</v>
      </c>
      <c r="L94" s="330">
        <f>L95+L96+L97+L98+L100+L101+L102</f>
        <v>220726.43449999997</v>
      </c>
      <c r="M94" s="382">
        <f>M95+M96+M97+M98+M100+M101+M102</f>
        <v>226244.59536249997</v>
      </c>
    </row>
    <row r="95" spans="1:13" s="25" customFormat="1" ht="15.75" customHeight="1">
      <c r="A95" s="500"/>
      <c r="B95" s="500"/>
      <c r="C95" s="40"/>
      <c r="D95" s="12" t="s">
        <v>101</v>
      </c>
      <c r="E95" s="12" t="s">
        <v>102</v>
      </c>
      <c r="F95" s="7">
        <v>70</v>
      </c>
      <c r="G95" s="330">
        <v>4757.1</v>
      </c>
      <c r="H95" s="380"/>
      <c r="I95" s="330">
        <v>3512.16</v>
      </c>
      <c r="J95" s="330">
        <v>8664.16</v>
      </c>
      <c r="K95" s="330">
        <f t="shared" si="4"/>
        <v>246.69035579244684</v>
      </c>
      <c r="L95" s="382">
        <f>J95*1.027</f>
        <v>8898.09232</v>
      </c>
      <c r="M95" s="382">
        <f>L95*1.025</f>
        <v>9120.544628</v>
      </c>
    </row>
    <row r="96" spans="1:13" s="25" customFormat="1" ht="44.25" customHeight="1">
      <c r="A96" s="500"/>
      <c r="B96" s="500"/>
      <c r="C96" s="40"/>
      <c r="D96" s="12" t="s">
        <v>103</v>
      </c>
      <c r="E96" s="12" t="s">
        <v>104</v>
      </c>
      <c r="F96" s="7">
        <v>71</v>
      </c>
      <c r="G96" s="330"/>
      <c r="H96" s="380"/>
      <c r="I96" s="330"/>
      <c r="J96" s="330"/>
      <c r="K96" s="330"/>
      <c r="L96" s="382"/>
      <c r="M96" s="382"/>
    </row>
    <row r="97" spans="1:13" s="25" customFormat="1" ht="12.75">
      <c r="A97" s="500"/>
      <c r="B97" s="500"/>
      <c r="C97" s="40"/>
      <c r="D97" s="12" t="s">
        <v>105</v>
      </c>
      <c r="E97" s="12" t="s">
        <v>106</v>
      </c>
      <c r="F97" s="7">
        <v>72</v>
      </c>
      <c r="G97" s="330">
        <v>5066.72</v>
      </c>
      <c r="H97" s="380"/>
      <c r="I97" s="330">
        <v>2500.6</v>
      </c>
      <c r="J97" s="330">
        <v>5259.34</v>
      </c>
      <c r="K97" s="330">
        <f>J97/I97*100</f>
        <v>210.32312245061186</v>
      </c>
      <c r="L97" s="382">
        <f>J97*1.027</f>
        <v>5401.34218</v>
      </c>
      <c r="M97" s="382">
        <f>L97*1.025</f>
        <v>5536.375734499999</v>
      </c>
    </row>
    <row r="98" spans="1:13" s="25" customFormat="1" ht="25.5">
      <c r="A98" s="500"/>
      <c r="B98" s="500"/>
      <c r="C98" s="40"/>
      <c r="D98" s="12" t="s">
        <v>107</v>
      </c>
      <c r="E98" s="12" t="s">
        <v>108</v>
      </c>
      <c r="F98" s="7">
        <v>73</v>
      </c>
      <c r="G98" s="330">
        <v>150</v>
      </c>
      <c r="H98" s="380"/>
      <c r="I98" s="330">
        <v>0</v>
      </c>
      <c r="J98" s="330">
        <v>500</v>
      </c>
      <c r="K98" s="330"/>
      <c r="L98" s="382"/>
      <c r="M98" s="382"/>
    </row>
    <row r="99" spans="1:13" s="25" customFormat="1" ht="25.5">
      <c r="A99" s="500"/>
      <c r="B99" s="500"/>
      <c r="C99" s="40"/>
      <c r="D99" s="12"/>
      <c r="E99" s="12" t="s">
        <v>109</v>
      </c>
      <c r="F99" s="7">
        <v>74</v>
      </c>
      <c r="G99" s="330"/>
      <c r="H99" s="380"/>
      <c r="I99" s="330"/>
      <c r="J99" s="330"/>
      <c r="K99" s="330"/>
      <c r="L99" s="382"/>
      <c r="M99" s="382"/>
    </row>
    <row r="100" spans="1:15" s="25" customFormat="1" ht="12.75">
      <c r="A100" s="500"/>
      <c r="B100" s="500"/>
      <c r="C100" s="40"/>
      <c r="D100" s="12" t="s">
        <v>110</v>
      </c>
      <c r="E100" s="12" t="s">
        <v>111</v>
      </c>
      <c r="F100" s="7">
        <v>75</v>
      </c>
      <c r="G100" s="330">
        <v>185585</v>
      </c>
      <c r="H100" s="380"/>
      <c r="I100" s="330">
        <v>171495</v>
      </c>
      <c r="J100" s="330">
        <v>201000</v>
      </c>
      <c r="K100" s="330">
        <f>J100/I100*100</f>
        <v>117.20458322400069</v>
      </c>
      <c r="L100" s="382">
        <f>J100*1.027</f>
        <v>206426.99999999997</v>
      </c>
      <c r="M100" s="382">
        <f>L100*1.025</f>
        <v>211587.67499999996</v>
      </c>
      <c r="O100" s="316"/>
    </row>
    <row r="101" spans="1:13" s="25" customFormat="1" ht="38.25">
      <c r="A101" s="500"/>
      <c r="B101" s="500"/>
      <c r="C101" s="40"/>
      <c r="D101" s="12" t="s">
        <v>112</v>
      </c>
      <c r="E101" s="12" t="s">
        <v>113</v>
      </c>
      <c r="F101" s="7">
        <v>76</v>
      </c>
      <c r="G101" s="330"/>
      <c r="H101" s="380"/>
      <c r="I101" s="330"/>
      <c r="J101" s="330"/>
      <c r="K101" s="330"/>
      <c r="L101" s="382"/>
      <c r="M101" s="382"/>
    </row>
    <row r="102" spans="1:13" s="25" customFormat="1" ht="25.5">
      <c r="A102" s="500"/>
      <c r="B102" s="500"/>
      <c r="C102" s="40"/>
      <c r="D102" s="12" t="s">
        <v>114</v>
      </c>
      <c r="E102" s="12" t="s">
        <v>115</v>
      </c>
      <c r="F102" s="7">
        <v>77</v>
      </c>
      <c r="G102" s="330"/>
      <c r="H102" s="380"/>
      <c r="I102" s="330"/>
      <c r="J102" s="330"/>
      <c r="K102" s="330"/>
      <c r="L102" s="382"/>
      <c r="M102" s="382"/>
    </row>
    <row r="103" spans="1:13" ht="19.5" customHeight="1">
      <c r="A103" s="500"/>
      <c r="B103" s="500"/>
      <c r="C103" s="40" t="s">
        <v>116</v>
      </c>
      <c r="D103" s="490" t="s">
        <v>117</v>
      </c>
      <c r="E103" s="490"/>
      <c r="F103" s="7">
        <v>78</v>
      </c>
      <c r="G103" s="330">
        <v>144528.47</v>
      </c>
      <c r="H103" s="380"/>
      <c r="I103" s="330">
        <v>98986.21</v>
      </c>
      <c r="J103" s="330">
        <v>182078.32</v>
      </c>
      <c r="K103" s="330">
        <f>J103/I103*100</f>
        <v>183.9431169250747</v>
      </c>
      <c r="L103" s="382">
        <f>J103*1.027</f>
        <v>186994.43464</v>
      </c>
      <c r="M103" s="382">
        <f>L103*1.025</f>
        <v>191669.29550599997</v>
      </c>
    </row>
    <row r="104" spans="1:14" ht="46.5" customHeight="1">
      <c r="A104" s="500"/>
      <c r="B104" s="500"/>
      <c r="C104" s="502" t="s">
        <v>207</v>
      </c>
      <c r="D104" s="502"/>
      <c r="E104" s="502"/>
      <c r="F104" s="7">
        <v>79</v>
      </c>
      <c r="G104" s="330">
        <f>G105+G106+G107+G108+G109+G110</f>
        <v>66649.17</v>
      </c>
      <c r="H104" s="330"/>
      <c r="I104" s="330">
        <f>I105+I106+I107+I108+I109+I110</f>
        <v>48206.92</v>
      </c>
      <c r="J104" s="330">
        <f>J105+J106+J107+J108+J109+J110</f>
        <v>84903.68</v>
      </c>
      <c r="K104" s="330">
        <f>J104/I104*100</f>
        <v>176.12342792279614</v>
      </c>
      <c r="L104" s="330">
        <f>L105+L106+L107+L108+L109+L110</f>
        <v>87196.07935999999</v>
      </c>
      <c r="M104" s="330">
        <f>M105+M106+M107+M108+M109+M110</f>
        <v>89375.98134399999</v>
      </c>
      <c r="N104" s="25"/>
    </row>
    <row r="105" spans="1:14" ht="27" customHeight="1">
      <c r="A105" s="500"/>
      <c r="B105" s="500"/>
      <c r="C105" s="11" t="s">
        <v>8</v>
      </c>
      <c r="D105" s="488" t="s">
        <v>118</v>
      </c>
      <c r="E105" s="487"/>
      <c r="F105" s="7">
        <v>80</v>
      </c>
      <c r="G105" s="330"/>
      <c r="H105" s="330"/>
      <c r="I105" s="330"/>
      <c r="J105" s="330"/>
      <c r="K105" s="330"/>
      <c r="L105" s="385"/>
      <c r="M105" s="385"/>
      <c r="N105" s="25"/>
    </row>
    <row r="106" spans="1:14" ht="34.5" customHeight="1">
      <c r="A106" s="500"/>
      <c r="B106" s="500"/>
      <c r="C106" s="11" t="s">
        <v>20</v>
      </c>
      <c r="D106" s="502" t="s">
        <v>119</v>
      </c>
      <c r="E106" s="487"/>
      <c r="F106" s="7">
        <v>81</v>
      </c>
      <c r="G106" s="330"/>
      <c r="H106" s="330"/>
      <c r="I106" s="330"/>
      <c r="J106" s="330"/>
      <c r="K106" s="330"/>
      <c r="L106" s="385"/>
      <c r="M106" s="385"/>
      <c r="N106" s="25"/>
    </row>
    <row r="107" spans="1:14" ht="15" customHeight="1">
      <c r="A107" s="500"/>
      <c r="B107" s="500"/>
      <c r="C107" s="7" t="s">
        <v>22</v>
      </c>
      <c r="D107" s="502" t="s">
        <v>120</v>
      </c>
      <c r="E107" s="487"/>
      <c r="F107" s="7">
        <v>82</v>
      </c>
      <c r="G107" s="330"/>
      <c r="H107" s="330"/>
      <c r="I107" s="330"/>
      <c r="J107" s="330"/>
      <c r="K107" s="330"/>
      <c r="L107" s="385"/>
      <c r="M107" s="385"/>
      <c r="N107" s="25"/>
    </row>
    <row r="108" spans="1:14" ht="15" customHeight="1">
      <c r="A108" s="500"/>
      <c r="B108" s="500"/>
      <c r="C108" s="7" t="s">
        <v>31</v>
      </c>
      <c r="D108" s="502" t="s">
        <v>121</v>
      </c>
      <c r="E108" s="487"/>
      <c r="F108" s="7">
        <v>83</v>
      </c>
      <c r="G108" s="330"/>
      <c r="H108" s="330"/>
      <c r="I108" s="330"/>
      <c r="J108" s="330"/>
      <c r="K108" s="330"/>
      <c r="L108" s="330"/>
      <c r="M108" s="330"/>
      <c r="N108" s="25"/>
    </row>
    <row r="109" spans="1:14" ht="15" customHeight="1">
      <c r="A109" s="500"/>
      <c r="B109" s="500"/>
      <c r="C109" s="7" t="s">
        <v>33</v>
      </c>
      <c r="D109" s="502" t="s">
        <v>122</v>
      </c>
      <c r="E109" s="487"/>
      <c r="F109" s="7">
        <v>84</v>
      </c>
      <c r="G109" s="330"/>
      <c r="H109" s="330"/>
      <c r="I109" s="330"/>
      <c r="J109" s="330"/>
      <c r="K109" s="330"/>
      <c r="L109" s="330"/>
      <c r="M109" s="330"/>
      <c r="N109" s="25"/>
    </row>
    <row r="110" spans="1:15" ht="24" customHeight="1">
      <c r="A110" s="500"/>
      <c r="B110" s="500"/>
      <c r="C110" s="7" t="s">
        <v>35</v>
      </c>
      <c r="D110" s="502" t="s">
        <v>504</v>
      </c>
      <c r="E110" s="487"/>
      <c r="F110" s="7">
        <v>85</v>
      </c>
      <c r="G110" s="330">
        <v>66649.17</v>
      </c>
      <c r="H110" s="380"/>
      <c r="I110" s="330">
        <v>48206.92</v>
      </c>
      <c r="J110" s="330">
        <v>84903.68</v>
      </c>
      <c r="K110" s="330">
        <f aca="true" t="shared" si="5" ref="K110:K117">J110/I110*100</f>
        <v>176.12342792279614</v>
      </c>
      <c r="L110" s="330">
        <f>J110*1.027</f>
        <v>87196.07935999999</v>
      </c>
      <c r="M110" s="330">
        <f>L110*1.025</f>
        <v>89375.98134399999</v>
      </c>
      <c r="N110" s="25"/>
      <c r="O110" s="120"/>
    </row>
    <row r="111" spans="1:15" ht="26.25" customHeight="1">
      <c r="A111" s="500"/>
      <c r="B111" s="500"/>
      <c r="C111" s="7"/>
      <c r="D111" s="463" t="s">
        <v>535</v>
      </c>
      <c r="E111" s="464"/>
      <c r="F111" s="7" t="s">
        <v>519</v>
      </c>
      <c r="G111" s="330">
        <v>16500.57</v>
      </c>
      <c r="H111" s="380"/>
      <c r="I111" s="330">
        <v>12696.58</v>
      </c>
      <c r="J111" s="330">
        <v>25000</v>
      </c>
      <c r="K111" s="330">
        <f t="shared" si="5"/>
        <v>196.90341808581525</v>
      </c>
      <c r="L111" s="330">
        <f>(L65+L54)*20%</f>
        <v>25672</v>
      </c>
      <c r="M111" s="330">
        <f>(M65+M54)*20%</f>
        <v>26143.5</v>
      </c>
      <c r="N111" s="25"/>
      <c r="O111" s="120"/>
    </row>
    <row r="112" spans="1:15" ht="26.25" customHeight="1">
      <c r="A112" s="500"/>
      <c r="B112" s="500"/>
      <c r="C112" s="7"/>
      <c r="D112" s="463" t="s">
        <v>536</v>
      </c>
      <c r="E112" s="464"/>
      <c r="F112" s="7" t="s">
        <v>537</v>
      </c>
      <c r="G112" s="330">
        <v>23032.26</v>
      </c>
      <c r="H112" s="380"/>
      <c r="I112" s="330">
        <v>15130.09</v>
      </c>
      <c r="J112" s="330">
        <v>15833.33</v>
      </c>
      <c r="K112" s="330">
        <f t="shared" si="5"/>
        <v>104.64795648935335</v>
      </c>
      <c r="L112" s="330">
        <f>(L66+L55)*20%</f>
        <v>20626.834000000003</v>
      </c>
      <c r="M112" s="330">
        <f>(M66+M55)*20%</f>
        <v>26763.167333333335</v>
      </c>
      <c r="N112" s="25"/>
      <c r="O112" s="120"/>
    </row>
    <row r="113" spans="1:15" ht="36" customHeight="1">
      <c r="A113" s="500"/>
      <c r="B113" s="500"/>
      <c r="C113" s="502" t="s">
        <v>208</v>
      </c>
      <c r="D113" s="502"/>
      <c r="E113" s="502"/>
      <c r="F113" s="7">
        <v>86</v>
      </c>
      <c r="G113" s="330">
        <f>G114+G127+G131+G140</f>
        <v>875298.68</v>
      </c>
      <c r="H113" s="330"/>
      <c r="I113" s="330">
        <f>I114+I127+I131+I140</f>
        <v>861735.18</v>
      </c>
      <c r="J113" s="330">
        <f>J114+J127+J131+J140</f>
        <v>1011700.21</v>
      </c>
      <c r="K113" s="330">
        <f t="shared" si="5"/>
        <v>117.4026816451894</v>
      </c>
      <c r="L113" s="330">
        <f>L114+L127+L131+L140</f>
        <v>1011700.21</v>
      </c>
      <c r="M113" s="330">
        <f>M114+M127+M131+M140</f>
        <v>1011700.21</v>
      </c>
      <c r="N113" s="316"/>
      <c r="O113" s="120"/>
    </row>
    <row r="114" spans="1:14" ht="25.5" customHeight="1">
      <c r="A114" s="500"/>
      <c r="B114" s="500"/>
      <c r="C114" s="12" t="s">
        <v>176</v>
      </c>
      <c r="D114" s="502" t="s">
        <v>209</v>
      </c>
      <c r="E114" s="502"/>
      <c r="F114" s="7">
        <v>87</v>
      </c>
      <c r="G114" s="330">
        <f>G115+G119</f>
        <v>711739.68</v>
      </c>
      <c r="H114" s="330"/>
      <c r="I114" s="330">
        <f>I115+I119</f>
        <v>701337.94</v>
      </c>
      <c r="J114" s="330">
        <f>J115+J119</f>
        <v>833065.55</v>
      </c>
      <c r="K114" s="330">
        <f t="shared" si="5"/>
        <v>118.7823305267073</v>
      </c>
      <c r="L114" s="330">
        <f>L115+L119</f>
        <v>833065.55</v>
      </c>
      <c r="M114" s="330">
        <f>M115+M119</f>
        <v>833065.55</v>
      </c>
      <c r="N114" s="316"/>
    </row>
    <row r="115" spans="1:14" ht="28.5" customHeight="1">
      <c r="A115" s="500"/>
      <c r="B115" s="500"/>
      <c r="C115" s="11" t="s">
        <v>123</v>
      </c>
      <c r="D115" s="502" t="s">
        <v>124</v>
      </c>
      <c r="E115" s="502"/>
      <c r="F115" s="7">
        <v>88</v>
      </c>
      <c r="G115" s="330">
        <f>G116+G117+G118</f>
        <v>681379.56</v>
      </c>
      <c r="H115" s="330"/>
      <c r="I115" s="330">
        <f>I116+I117+I118</f>
        <v>674007.72</v>
      </c>
      <c r="J115" s="330">
        <f>J116+J117+J118</f>
        <v>745128.28</v>
      </c>
      <c r="K115" s="330">
        <f t="shared" si="5"/>
        <v>110.551891008014</v>
      </c>
      <c r="L115" s="330">
        <f>L116+L117+L118</f>
        <v>745128.28</v>
      </c>
      <c r="M115" s="330">
        <f>M116+M117+M118</f>
        <v>745128.28</v>
      </c>
      <c r="N115" s="25"/>
    </row>
    <row r="116" spans="1:14" ht="15" customHeight="1">
      <c r="A116" s="500"/>
      <c r="B116" s="500"/>
      <c r="C116" s="500"/>
      <c r="D116" s="502" t="s">
        <v>125</v>
      </c>
      <c r="E116" s="502"/>
      <c r="F116" s="7">
        <v>89</v>
      </c>
      <c r="G116" s="330">
        <v>435504.64</v>
      </c>
      <c r="H116" s="380"/>
      <c r="I116" s="330">
        <v>433973.26</v>
      </c>
      <c r="J116" s="330">
        <v>476165.03</v>
      </c>
      <c r="K116" s="330">
        <f t="shared" si="5"/>
        <v>109.72220500405948</v>
      </c>
      <c r="L116" s="330">
        <v>476165.03</v>
      </c>
      <c r="M116" s="330">
        <v>476165.03</v>
      </c>
      <c r="N116" s="25"/>
    </row>
    <row r="117" spans="1:14" ht="33" customHeight="1">
      <c r="A117" s="500"/>
      <c r="B117" s="500"/>
      <c r="C117" s="500"/>
      <c r="D117" s="502" t="s">
        <v>126</v>
      </c>
      <c r="E117" s="502"/>
      <c r="F117" s="7">
        <v>90</v>
      </c>
      <c r="G117" s="330">
        <v>245874.92</v>
      </c>
      <c r="H117" s="380"/>
      <c r="I117" s="330">
        <v>240034.46</v>
      </c>
      <c r="J117" s="330">
        <v>268963.25</v>
      </c>
      <c r="K117" s="330">
        <f t="shared" si="5"/>
        <v>112.0519320434241</v>
      </c>
      <c r="L117" s="330">
        <v>268963.25</v>
      </c>
      <c r="M117" s="330">
        <v>268963.25</v>
      </c>
      <c r="N117" s="25"/>
    </row>
    <row r="118" spans="1:14" ht="18.75" customHeight="1">
      <c r="A118" s="500"/>
      <c r="B118" s="500"/>
      <c r="C118" s="500"/>
      <c r="D118" s="502" t="s">
        <v>127</v>
      </c>
      <c r="E118" s="502"/>
      <c r="F118" s="7">
        <v>91</v>
      </c>
      <c r="G118" s="379"/>
      <c r="H118" s="380"/>
      <c r="I118" s="379"/>
      <c r="J118" s="330"/>
      <c r="K118" s="330"/>
      <c r="L118" s="385"/>
      <c r="M118" s="385"/>
      <c r="N118" s="25"/>
    </row>
    <row r="119" spans="1:14" ht="29.25" customHeight="1">
      <c r="A119" s="500"/>
      <c r="B119" s="500"/>
      <c r="C119" s="7" t="s">
        <v>128</v>
      </c>
      <c r="D119" s="502" t="s">
        <v>129</v>
      </c>
      <c r="E119" s="502"/>
      <c r="F119" s="7">
        <v>92</v>
      </c>
      <c r="G119" s="330">
        <f>G120+G123+G124++G125+G126</f>
        <v>30360.12</v>
      </c>
      <c r="H119" s="330"/>
      <c r="I119" s="330">
        <f>I120+I123+I124++I125+I126</f>
        <v>27330.22</v>
      </c>
      <c r="J119" s="330">
        <f>J120+J123+J124++J125+J126</f>
        <v>87937.27</v>
      </c>
      <c r="K119" s="330">
        <f>J119/I119*100</f>
        <v>321.75836857515236</v>
      </c>
      <c r="L119" s="330">
        <f>L120+L123+L124++L125+L126</f>
        <v>87937.27</v>
      </c>
      <c r="M119" s="330">
        <f>M120+M123+M124++M125+M126</f>
        <v>87937.27</v>
      </c>
      <c r="N119" s="25"/>
    </row>
    <row r="120" spans="1:13" s="25" customFormat="1" ht="57.75" customHeight="1">
      <c r="A120" s="500"/>
      <c r="B120" s="500"/>
      <c r="C120" s="7"/>
      <c r="D120" s="502" t="s">
        <v>130</v>
      </c>
      <c r="E120" s="502"/>
      <c r="F120" s="7">
        <v>93</v>
      </c>
      <c r="G120" s="330">
        <v>6825.98</v>
      </c>
      <c r="H120" s="380"/>
      <c r="I120" s="330">
        <v>3796.08</v>
      </c>
      <c r="J120" s="330">
        <v>37307.19</v>
      </c>
      <c r="K120" s="330">
        <f>J120/I120*100</f>
        <v>982.781975090093</v>
      </c>
      <c r="L120" s="330">
        <v>37307.19</v>
      </c>
      <c r="M120" s="330">
        <v>37307.19</v>
      </c>
    </row>
    <row r="121" spans="1:13" s="25" customFormat="1" ht="43.5" customHeight="1">
      <c r="A121" s="500"/>
      <c r="B121" s="500"/>
      <c r="C121" s="7"/>
      <c r="D121" s="12"/>
      <c r="E121" s="12" t="s">
        <v>131</v>
      </c>
      <c r="F121" s="7">
        <v>94</v>
      </c>
      <c r="G121" s="330"/>
      <c r="H121" s="380"/>
      <c r="I121" s="330"/>
      <c r="J121" s="330"/>
      <c r="K121" s="330"/>
      <c r="L121" s="385"/>
      <c r="M121" s="385"/>
    </row>
    <row r="122" spans="1:13" s="25" customFormat="1" ht="56.25" customHeight="1">
      <c r="A122" s="500"/>
      <c r="B122" s="500"/>
      <c r="C122" s="7"/>
      <c r="D122" s="12"/>
      <c r="E122" s="12" t="s">
        <v>132</v>
      </c>
      <c r="F122" s="7">
        <v>95</v>
      </c>
      <c r="G122" s="330"/>
      <c r="H122" s="380"/>
      <c r="I122" s="330"/>
      <c r="J122" s="330"/>
      <c r="K122" s="330"/>
      <c r="L122" s="385"/>
      <c r="M122" s="385"/>
    </row>
    <row r="123" spans="1:13" s="25" customFormat="1" ht="21.75" customHeight="1">
      <c r="A123" s="500"/>
      <c r="B123" s="500"/>
      <c r="C123" s="7"/>
      <c r="D123" s="502" t="s">
        <v>133</v>
      </c>
      <c r="E123" s="502"/>
      <c r="F123" s="7">
        <v>96</v>
      </c>
      <c r="G123" s="330">
        <v>23534.14</v>
      </c>
      <c r="H123" s="380"/>
      <c r="I123" s="330">
        <v>23534.14</v>
      </c>
      <c r="J123" s="330">
        <v>50630.08</v>
      </c>
      <c r="K123" s="330">
        <f>J123/I123*100</f>
        <v>215.13460870038168</v>
      </c>
      <c r="L123" s="330">
        <v>50630.08</v>
      </c>
      <c r="M123" s="330">
        <v>50630.08</v>
      </c>
    </row>
    <row r="124" spans="1:13" s="25" customFormat="1" ht="19.5" customHeight="1">
      <c r="A124" s="500"/>
      <c r="B124" s="500"/>
      <c r="C124" s="7"/>
      <c r="D124" s="502" t="s">
        <v>134</v>
      </c>
      <c r="E124" s="502"/>
      <c r="F124" s="7">
        <v>97</v>
      </c>
      <c r="G124" s="330"/>
      <c r="H124" s="380"/>
      <c r="I124" s="330"/>
      <c r="J124" s="330"/>
      <c r="K124" s="330"/>
      <c r="L124" s="385"/>
      <c r="M124" s="385"/>
    </row>
    <row r="125" spans="1:13" s="25" customFormat="1" ht="32.25" customHeight="1">
      <c r="A125" s="500"/>
      <c r="B125" s="500"/>
      <c r="C125" s="7"/>
      <c r="D125" s="502" t="s">
        <v>135</v>
      </c>
      <c r="E125" s="502"/>
      <c r="F125" s="7">
        <v>98</v>
      </c>
      <c r="G125" s="330"/>
      <c r="H125" s="380"/>
      <c r="I125" s="330"/>
      <c r="J125" s="330"/>
      <c r="K125" s="330"/>
      <c r="L125" s="385"/>
      <c r="M125" s="385"/>
    </row>
    <row r="126" spans="1:13" s="25" customFormat="1" ht="20.25" customHeight="1">
      <c r="A126" s="500"/>
      <c r="B126" s="500"/>
      <c r="C126" s="7"/>
      <c r="D126" s="502" t="s">
        <v>136</v>
      </c>
      <c r="E126" s="502"/>
      <c r="F126" s="7">
        <v>99</v>
      </c>
      <c r="G126" s="330"/>
      <c r="H126" s="380"/>
      <c r="I126" s="330"/>
      <c r="J126" s="330"/>
      <c r="K126" s="330"/>
      <c r="L126" s="382"/>
      <c r="M126" s="382"/>
    </row>
    <row r="127" spans="1:14" ht="31.5" customHeight="1">
      <c r="A127" s="500"/>
      <c r="B127" s="500"/>
      <c r="C127" s="7" t="s">
        <v>137</v>
      </c>
      <c r="D127" s="502" t="s">
        <v>138</v>
      </c>
      <c r="E127" s="502"/>
      <c r="F127" s="7">
        <v>100</v>
      </c>
      <c r="G127" s="330">
        <f>G128+G129+G130</f>
        <v>0</v>
      </c>
      <c r="H127" s="330"/>
      <c r="I127" s="330">
        <f>I128+I129+I130</f>
        <v>0</v>
      </c>
      <c r="J127" s="330">
        <v>0</v>
      </c>
      <c r="K127" s="330"/>
      <c r="L127" s="382">
        <v>0</v>
      </c>
      <c r="M127" s="382">
        <v>0</v>
      </c>
      <c r="N127" s="25"/>
    </row>
    <row r="128" spans="1:14" ht="33" customHeight="1">
      <c r="A128" s="500"/>
      <c r="B128" s="500"/>
      <c r="C128" s="7"/>
      <c r="D128" s="502" t="s">
        <v>210</v>
      </c>
      <c r="E128" s="502"/>
      <c r="F128" s="7">
        <v>101</v>
      </c>
      <c r="G128" s="330"/>
      <c r="H128" s="330"/>
      <c r="I128" s="330"/>
      <c r="J128" s="330"/>
      <c r="K128" s="330"/>
      <c r="L128" s="382"/>
      <c r="M128" s="382"/>
      <c r="N128" s="25"/>
    </row>
    <row r="129" spans="1:14" ht="35.25" customHeight="1">
      <c r="A129" s="500"/>
      <c r="B129" s="500"/>
      <c r="C129" s="7"/>
      <c r="D129" s="502" t="s">
        <v>139</v>
      </c>
      <c r="E129" s="502"/>
      <c r="F129" s="7">
        <v>102</v>
      </c>
      <c r="G129" s="330"/>
      <c r="H129" s="330"/>
      <c r="I129" s="330"/>
      <c r="J129" s="330"/>
      <c r="K129" s="330"/>
      <c r="L129" s="382"/>
      <c r="M129" s="382"/>
      <c r="N129" s="25"/>
    </row>
    <row r="130" spans="1:14" ht="44.25" customHeight="1">
      <c r="A130" s="500"/>
      <c r="B130" s="500"/>
      <c r="C130" s="7"/>
      <c r="D130" s="502" t="s">
        <v>140</v>
      </c>
      <c r="E130" s="502"/>
      <c r="F130" s="7">
        <v>103</v>
      </c>
      <c r="G130" s="330"/>
      <c r="H130" s="330"/>
      <c r="I130" s="330"/>
      <c r="J130" s="330"/>
      <c r="K130" s="330"/>
      <c r="L130" s="382"/>
      <c r="M130" s="382"/>
      <c r="N130" s="25"/>
    </row>
    <row r="131" spans="1:14" ht="57" customHeight="1">
      <c r="A131" s="500"/>
      <c r="B131" s="500"/>
      <c r="C131" s="11" t="s">
        <v>141</v>
      </c>
      <c r="D131" s="502" t="s">
        <v>211</v>
      </c>
      <c r="E131" s="502"/>
      <c r="F131" s="7">
        <v>104</v>
      </c>
      <c r="G131" s="330">
        <f>G132+G135+G138+G139</f>
        <v>1218.35</v>
      </c>
      <c r="H131" s="330"/>
      <c r="I131" s="330">
        <f>I132+I135+I138+I139</f>
        <v>1337.68</v>
      </c>
      <c r="J131" s="330">
        <f>J132+J135+J138+J139</f>
        <v>1015.5</v>
      </c>
      <c r="K131" s="330">
        <f>J131/I131*100</f>
        <v>75.91501704443515</v>
      </c>
      <c r="L131" s="382">
        <f>L132+L135+L138+L139</f>
        <v>1015.5</v>
      </c>
      <c r="M131" s="382">
        <f>M132+M135+M138+M139</f>
        <v>1015.5</v>
      </c>
      <c r="N131" s="25"/>
    </row>
    <row r="132" spans="1:14" ht="19.5" customHeight="1">
      <c r="A132" s="500"/>
      <c r="B132" s="500"/>
      <c r="C132" s="500"/>
      <c r="D132" s="502" t="s">
        <v>142</v>
      </c>
      <c r="E132" s="502"/>
      <c r="F132" s="7">
        <v>105</v>
      </c>
      <c r="G132" s="330">
        <f>G133+G134</f>
        <v>402.85</v>
      </c>
      <c r="H132" s="330"/>
      <c r="I132" s="330">
        <f>I133+I134</f>
        <v>588.5699999999999</v>
      </c>
      <c r="J132" s="330">
        <f>J133+J134</f>
        <v>264.53</v>
      </c>
      <c r="K132" s="330">
        <f>J132/I132*100</f>
        <v>44.944526564384866</v>
      </c>
      <c r="L132" s="382">
        <f>L133+L134</f>
        <v>264.53</v>
      </c>
      <c r="M132" s="382">
        <f>M133+M134</f>
        <v>264.53</v>
      </c>
      <c r="N132" s="25"/>
    </row>
    <row r="133" spans="1:14" ht="19.5" customHeight="1">
      <c r="A133" s="500"/>
      <c r="B133" s="500"/>
      <c r="C133" s="500"/>
      <c r="D133" s="12"/>
      <c r="E133" s="12" t="s">
        <v>212</v>
      </c>
      <c r="F133" s="7">
        <v>106</v>
      </c>
      <c r="G133" s="330">
        <v>251.78</v>
      </c>
      <c r="H133" s="380"/>
      <c r="I133" s="330">
        <v>240.51</v>
      </c>
      <c r="J133" s="330">
        <v>264.53</v>
      </c>
      <c r="K133" s="330">
        <f>J133/I133*100</f>
        <v>109.98711072304685</v>
      </c>
      <c r="L133" s="330">
        <v>264.53</v>
      </c>
      <c r="M133" s="330">
        <v>264.53</v>
      </c>
      <c r="N133" s="25"/>
    </row>
    <row r="134" spans="1:14" ht="19.5" customHeight="1">
      <c r="A134" s="500"/>
      <c r="B134" s="500"/>
      <c r="C134" s="500"/>
      <c r="D134" s="12"/>
      <c r="E134" s="12" t="s">
        <v>213</v>
      </c>
      <c r="F134" s="7">
        <v>107</v>
      </c>
      <c r="G134" s="330">
        <v>151.07</v>
      </c>
      <c r="H134" s="330"/>
      <c r="I134" s="330">
        <v>348.06</v>
      </c>
      <c r="J134" s="330">
        <v>0</v>
      </c>
      <c r="K134" s="330">
        <f>J134/I134*100</f>
        <v>0</v>
      </c>
      <c r="L134" s="330">
        <v>0</v>
      </c>
      <c r="M134" s="330">
        <v>0</v>
      </c>
      <c r="N134" s="25"/>
    </row>
    <row r="135" spans="1:14" ht="33" customHeight="1">
      <c r="A135" s="500"/>
      <c r="B135" s="500"/>
      <c r="C135" s="500"/>
      <c r="D135" s="492" t="s">
        <v>214</v>
      </c>
      <c r="E135" s="492"/>
      <c r="F135" s="7">
        <v>108</v>
      </c>
      <c r="G135" s="330">
        <f>G136+G137</f>
        <v>360.89</v>
      </c>
      <c r="H135" s="330"/>
      <c r="I135" s="330">
        <f>I136+I137</f>
        <v>452.15999999999997</v>
      </c>
      <c r="J135" s="330">
        <f>J136+J137</f>
        <v>273.35</v>
      </c>
      <c r="K135" s="330">
        <f aca="true" t="shared" si="6" ref="K135:K144">J135/I135*100</f>
        <v>60.454263977353165</v>
      </c>
      <c r="L135" s="382">
        <f>L136+L137</f>
        <v>273.35</v>
      </c>
      <c r="M135" s="382">
        <f>M136+M137</f>
        <v>273.35</v>
      </c>
      <c r="N135" s="25"/>
    </row>
    <row r="136" spans="1:14" ht="24" customHeight="1">
      <c r="A136" s="500"/>
      <c r="B136" s="500"/>
      <c r="C136" s="500"/>
      <c r="D136" s="43"/>
      <c r="E136" s="12" t="s">
        <v>212</v>
      </c>
      <c r="F136" s="7">
        <v>109</v>
      </c>
      <c r="G136" s="380">
        <v>260.18</v>
      </c>
      <c r="H136" s="380"/>
      <c r="I136" s="380">
        <v>220.12</v>
      </c>
      <c r="J136" s="330">
        <v>273.35</v>
      </c>
      <c r="K136" s="330">
        <f t="shared" si="6"/>
        <v>124.18226421951664</v>
      </c>
      <c r="L136" s="330">
        <v>273.35</v>
      </c>
      <c r="M136" s="330">
        <v>273.35</v>
      </c>
      <c r="N136" s="25"/>
    </row>
    <row r="137" spans="1:13" ht="19.5" customHeight="1">
      <c r="A137" s="500"/>
      <c r="B137" s="500"/>
      <c r="C137" s="500"/>
      <c r="D137" s="43"/>
      <c r="E137" s="12" t="s">
        <v>213</v>
      </c>
      <c r="F137" s="7">
        <v>110</v>
      </c>
      <c r="G137" s="330">
        <v>100.71</v>
      </c>
      <c r="H137" s="330"/>
      <c r="I137" s="330">
        <v>232.04</v>
      </c>
      <c r="J137" s="330">
        <v>0</v>
      </c>
      <c r="K137" s="330">
        <f t="shared" si="6"/>
        <v>0</v>
      </c>
      <c r="L137" s="330">
        <v>0</v>
      </c>
      <c r="M137" s="330">
        <v>0</v>
      </c>
    </row>
    <row r="138" spans="1:13" ht="18.75" customHeight="1">
      <c r="A138" s="500"/>
      <c r="B138" s="500"/>
      <c r="C138" s="500"/>
      <c r="D138" s="502" t="s">
        <v>215</v>
      </c>
      <c r="E138" s="502"/>
      <c r="F138" s="7">
        <v>111</v>
      </c>
      <c r="G138" s="380">
        <v>314.73</v>
      </c>
      <c r="H138" s="380"/>
      <c r="I138" s="380">
        <v>296.95</v>
      </c>
      <c r="J138" s="330">
        <v>330.66</v>
      </c>
      <c r="K138" s="330">
        <f t="shared" si="6"/>
        <v>111.35207947465904</v>
      </c>
      <c r="L138" s="330">
        <v>330.66</v>
      </c>
      <c r="M138" s="330">
        <v>330.66</v>
      </c>
    </row>
    <row r="139" spans="1:13" ht="31.5" customHeight="1">
      <c r="A139" s="500"/>
      <c r="B139" s="500"/>
      <c r="C139" s="7"/>
      <c r="D139" s="502" t="s">
        <v>143</v>
      </c>
      <c r="E139" s="502"/>
      <c r="F139" s="7">
        <v>112</v>
      </c>
      <c r="G139" s="380">
        <v>139.88</v>
      </c>
      <c r="H139" s="380"/>
      <c r="I139" s="380">
        <v>0</v>
      </c>
      <c r="J139" s="330">
        <v>146.96</v>
      </c>
      <c r="K139" s="330"/>
      <c r="L139" s="330">
        <v>146.96</v>
      </c>
      <c r="M139" s="330">
        <v>146.96</v>
      </c>
    </row>
    <row r="140" spans="1:13" ht="63" customHeight="1">
      <c r="A140" s="500"/>
      <c r="B140" s="500"/>
      <c r="C140" s="7" t="s">
        <v>144</v>
      </c>
      <c r="D140" s="502" t="s">
        <v>216</v>
      </c>
      <c r="E140" s="502"/>
      <c r="F140" s="7">
        <v>113</v>
      </c>
      <c r="G140" s="330">
        <f>G141+G142+G143+G144+G145+G146</f>
        <v>162340.65</v>
      </c>
      <c r="H140" s="330"/>
      <c r="I140" s="330">
        <f>I141+I142+I143+I144+I145+I146</f>
        <v>159059.56000000003</v>
      </c>
      <c r="J140" s="330">
        <f>J141+J142+J143+J144+J145+J146</f>
        <v>177619.15999999997</v>
      </c>
      <c r="K140" s="330">
        <f t="shared" si="6"/>
        <v>111.66833354750882</v>
      </c>
      <c r="L140" s="382">
        <f>L141+L142+L143+L144+L145+L146</f>
        <v>177619.15999999997</v>
      </c>
      <c r="M140" s="382">
        <f>M141+M142+M143+M144+M145+M146</f>
        <v>177619.15999999997</v>
      </c>
    </row>
    <row r="141" spans="1:13" ht="24" customHeight="1">
      <c r="A141" s="500"/>
      <c r="B141" s="500"/>
      <c r="C141" s="500"/>
      <c r="D141" s="502" t="s">
        <v>145</v>
      </c>
      <c r="E141" s="502"/>
      <c r="F141" s="7">
        <v>114</v>
      </c>
      <c r="G141" s="330">
        <v>108586.28</v>
      </c>
      <c r="H141" s="380"/>
      <c r="I141" s="330">
        <v>106704.57</v>
      </c>
      <c r="J141" s="330">
        <v>118626.84</v>
      </c>
      <c r="K141" s="330">
        <f t="shared" si="6"/>
        <v>111.17315781320329</v>
      </c>
      <c r="L141" s="330">
        <v>118626.84</v>
      </c>
      <c r="M141" s="330">
        <v>118626.84</v>
      </c>
    </row>
    <row r="142" spans="1:13" ht="28.5" customHeight="1">
      <c r="A142" s="500"/>
      <c r="B142" s="500"/>
      <c r="C142" s="500"/>
      <c r="D142" s="502" t="s">
        <v>146</v>
      </c>
      <c r="E142" s="502"/>
      <c r="F142" s="7">
        <v>115</v>
      </c>
      <c r="G142" s="330">
        <v>3436.27</v>
      </c>
      <c r="H142" s="380"/>
      <c r="I142" s="330">
        <v>3376.73</v>
      </c>
      <c r="J142" s="330">
        <v>3754.01</v>
      </c>
      <c r="K142" s="330">
        <f t="shared" si="6"/>
        <v>111.17293950064115</v>
      </c>
      <c r="L142" s="330">
        <v>3754.01</v>
      </c>
      <c r="M142" s="330">
        <v>3754.01</v>
      </c>
    </row>
    <row r="143" spans="1:13" ht="30" customHeight="1">
      <c r="A143" s="500"/>
      <c r="B143" s="500"/>
      <c r="C143" s="500"/>
      <c r="D143" s="502" t="s">
        <v>147</v>
      </c>
      <c r="E143" s="502"/>
      <c r="F143" s="7">
        <v>116</v>
      </c>
      <c r="G143" s="330">
        <v>41578.92</v>
      </c>
      <c r="H143" s="380"/>
      <c r="I143" s="330">
        <v>40858.4</v>
      </c>
      <c r="J143" s="330">
        <v>45423.57</v>
      </c>
      <c r="K143" s="330">
        <f t="shared" si="6"/>
        <v>111.17314921778629</v>
      </c>
      <c r="L143" s="330">
        <v>45423.57</v>
      </c>
      <c r="M143" s="330">
        <v>45423.57</v>
      </c>
    </row>
    <row r="144" spans="1:13" ht="38.25" customHeight="1">
      <c r="A144" s="500"/>
      <c r="B144" s="500"/>
      <c r="C144" s="500"/>
      <c r="D144" s="502" t="s">
        <v>148</v>
      </c>
      <c r="E144" s="502"/>
      <c r="F144" s="7">
        <v>117</v>
      </c>
      <c r="G144" s="330">
        <v>3319.44</v>
      </c>
      <c r="H144" s="380"/>
      <c r="I144" s="330">
        <v>3261.92</v>
      </c>
      <c r="J144" s="330">
        <v>3626.38</v>
      </c>
      <c r="K144" s="330">
        <f t="shared" si="6"/>
        <v>111.17317408152255</v>
      </c>
      <c r="L144" s="330">
        <v>3626.38</v>
      </c>
      <c r="M144" s="330">
        <v>3626.38</v>
      </c>
    </row>
    <row r="145" spans="1:13" ht="31.5" customHeight="1">
      <c r="A145" s="500"/>
      <c r="B145" s="500"/>
      <c r="C145" s="500"/>
      <c r="D145" s="502" t="s">
        <v>149</v>
      </c>
      <c r="E145" s="502"/>
      <c r="F145" s="7">
        <v>118</v>
      </c>
      <c r="G145" s="330"/>
      <c r="H145" s="380"/>
      <c r="I145" s="330"/>
      <c r="J145" s="330"/>
      <c r="K145" s="330"/>
      <c r="L145" s="330"/>
      <c r="M145" s="330"/>
    </row>
    <row r="146" spans="1:13" ht="31.5" customHeight="1">
      <c r="A146" s="500"/>
      <c r="B146" s="500"/>
      <c r="C146" s="500"/>
      <c r="D146" s="502" t="s">
        <v>150</v>
      </c>
      <c r="E146" s="502"/>
      <c r="F146" s="7">
        <v>119</v>
      </c>
      <c r="G146" s="330">
        <v>5419.74</v>
      </c>
      <c r="H146" s="380"/>
      <c r="I146" s="330">
        <v>4857.94</v>
      </c>
      <c r="J146" s="330">
        <v>6188.36</v>
      </c>
      <c r="K146" s="330">
        <f aca="true" t="shared" si="7" ref="K146:K151">J146/I146*100</f>
        <v>127.38650539117404</v>
      </c>
      <c r="L146" s="330">
        <v>6188.36</v>
      </c>
      <c r="M146" s="330">
        <v>6188.36</v>
      </c>
    </row>
    <row r="147" spans="1:13" ht="50.25" customHeight="1">
      <c r="A147" s="500"/>
      <c r="B147" s="500"/>
      <c r="C147" s="502" t="s">
        <v>217</v>
      </c>
      <c r="D147" s="502"/>
      <c r="E147" s="502"/>
      <c r="F147" s="7">
        <v>120</v>
      </c>
      <c r="G147" s="330">
        <f>G148+G151+G152+G153+G154+G155</f>
        <v>350663.51</v>
      </c>
      <c r="H147" s="330"/>
      <c r="I147" s="330">
        <f>I148+I151+I152+I153+I154+I155</f>
        <v>1831822.7499999998</v>
      </c>
      <c r="J147" s="330">
        <f>J148+J151+J152+J153+J154+J155</f>
        <v>1765810.5199999998</v>
      </c>
      <c r="K147" s="330">
        <f t="shared" si="7"/>
        <v>96.39636367656205</v>
      </c>
      <c r="L147" s="382">
        <f>L148+L151+L152+L153+L154+L155</f>
        <v>1771134.6662</v>
      </c>
      <c r="M147" s="382">
        <f>M148+M151+M152+M153+M154+M155</f>
        <v>1776197.5348549997</v>
      </c>
    </row>
    <row r="148" spans="1:13" ht="33" customHeight="1">
      <c r="A148" s="500"/>
      <c r="B148" s="500"/>
      <c r="C148" s="7" t="s">
        <v>8</v>
      </c>
      <c r="D148" s="502" t="s">
        <v>218</v>
      </c>
      <c r="E148" s="502"/>
      <c r="F148" s="7">
        <v>121</v>
      </c>
      <c r="G148" s="330">
        <f>G149+G150</f>
        <v>41278.47</v>
      </c>
      <c r="H148" s="330"/>
      <c r="I148" s="330">
        <f>I149+I150</f>
        <v>4703.07</v>
      </c>
      <c r="J148" s="330">
        <f>J149+J150</f>
        <v>5861.29</v>
      </c>
      <c r="K148" s="330">
        <f t="shared" si="7"/>
        <v>124.626892646718</v>
      </c>
      <c r="L148" s="382">
        <f>L149+L150</f>
        <v>5861.29</v>
      </c>
      <c r="M148" s="382">
        <f>M149+M150</f>
        <v>5861.29</v>
      </c>
    </row>
    <row r="149" spans="1:13" ht="18.75" customHeight="1">
      <c r="A149" s="500"/>
      <c r="B149" s="500"/>
      <c r="C149" s="7"/>
      <c r="D149" s="502" t="s">
        <v>151</v>
      </c>
      <c r="E149" s="502"/>
      <c r="F149" s="7">
        <v>122</v>
      </c>
      <c r="G149" s="330">
        <v>30192.29</v>
      </c>
      <c r="H149" s="380"/>
      <c r="I149" s="330">
        <v>1044.6</v>
      </c>
      <c r="J149" s="330">
        <v>3955.2</v>
      </c>
      <c r="K149" s="330">
        <f t="shared" si="7"/>
        <v>378.63296955772546</v>
      </c>
      <c r="L149" s="330">
        <v>3955.2</v>
      </c>
      <c r="M149" s="330">
        <v>3955.2</v>
      </c>
    </row>
    <row r="150" spans="1:13" ht="18.75" customHeight="1">
      <c r="A150" s="500"/>
      <c r="B150" s="500"/>
      <c r="C150" s="7"/>
      <c r="D150" s="502" t="s">
        <v>152</v>
      </c>
      <c r="E150" s="502"/>
      <c r="F150" s="7">
        <v>123</v>
      </c>
      <c r="G150" s="330">
        <v>11086.18</v>
      </c>
      <c r="H150" s="380"/>
      <c r="I150" s="330">
        <v>3658.47</v>
      </c>
      <c r="J150" s="330">
        <v>1906.09</v>
      </c>
      <c r="K150" s="330">
        <f t="shared" si="7"/>
        <v>52.10074156682985</v>
      </c>
      <c r="L150" s="330">
        <v>1906.09</v>
      </c>
      <c r="M150" s="330">
        <v>1906.09</v>
      </c>
    </row>
    <row r="151" spans="1:13" ht="21" customHeight="1">
      <c r="A151" s="500"/>
      <c r="B151" s="500"/>
      <c r="C151" s="7" t="s">
        <v>20</v>
      </c>
      <c r="D151" s="502" t="s">
        <v>153</v>
      </c>
      <c r="E151" s="502"/>
      <c r="F151" s="7">
        <v>124</v>
      </c>
      <c r="G151" s="330">
        <v>135893.67</v>
      </c>
      <c r="H151" s="380"/>
      <c r="I151" s="330">
        <v>1546098.64</v>
      </c>
      <c r="J151" s="330">
        <v>1561788.69</v>
      </c>
      <c r="K151" s="330">
        <f t="shared" si="7"/>
        <v>101.01481558770402</v>
      </c>
      <c r="L151" s="330">
        <v>1561788.69</v>
      </c>
      <c r="M151" s="330">
        <v>1561788.69</v>
      </c>
    </row>
    <row r="152" spans="1:13" ht="32.25" customHeight="1">
      <c r="A152" s="500"/>
      <c r="B152" s="500"/>
      <c r="C152" s="7" t="s">
        <v>22</v>
      </c>
      <c r="D152" s="502" t="s">
        <v>154</v>
      </c>
      <c r="E152" s="502"/>
      <c r="F152" s="7">
        <v>125</v>
      </c>
      <c r="G152" s="330"/>
      <c r="H152" s="380"/>
      <c r="I152" s="330"/>
      <c r="J152" s="330"/>
      <c r="K152" s="330"/>
      <c r="L152" s="382"/>
      <c r="M152" s="382"/>
    </row>
    <row r="153" spans="1:13" ht="17.25" customHeight="1">
      <c r="A153" s="500"/>
      <c r="B153" s="500"/>
      <c r="C153" s="7" t="s">
        <v>31</v>
      </c>
      <c r="D153" s="502" t="s">
        <v>117</v>
      </c>
      <c r="E153" s="502"/>
      <c r="F153" s="7">
        <v>126</v>
      </c>
      <c r="G153" s="330">
        <v>18150.94</v>
      </c>
      <c r="H153" s="330"/>
      <c r="I153" s="330">
        <f>69503.75-0.01</f>
        <v>69503.74</v>
      </c>
      <c r="J153" s="330">
        <f>63629.68-850</f>
        <v>62779.68</v>
      </c>
      <c r="K153" s="330">
        <f>J153/I153*100</f>
        <v>90.32561413241935</v>
      </c>
      <c r="L153" s="382">
        <f>J153*1.027</f>
        <v>64474.73136</v>
      </c>
      <c r="M153" s="382">
        <f>L153*1.025</f>
        <v>66086.59964399999</v>
      </c>
    </row>
    <row r="154" spans="1:13" ht="30.75" customHeight="1">
      <c r="A154" s="500"/>
      <c r="B154" s="500"/>
      <c r="C154" s="7" t="s">
        <v>33</v>
      </c>
      <c r="D154" s="502" t="s">
        <v>155</v>
      </c>
      <c r="E154" s="502"/>
      <c r="F154" s="7">
        <v>127</v>
      </c>
      <c r="G154" s="330">
        <v>154669</v>
      </c>
      <c r="H154" s="380"/>
      <c r="I154" s="330">
        <v>129975.37</v>
      </c>
      <c r="J154" s="330">
        <v>134410.92</v>
      </c>
      <c r="K154" s="330">
        <f>J154/I154*100</f>
        <v>103.41260809644166</v>
      </c>
      <c r="L154" s="382">
        <f>J154*1.027</f>
        <v>138040.01484</v>
      </c>
      <c r="M154" s="382">
        <f>L154*1.025</f>
        <v>141491.015211</v>
      </c>
    </row>
    <row r="155" spans="1:13" ht="38.25" customHeight="1">
      <c r="A155" s="500"/>
      <c r="B155" s="500"/>
      <c r="C155" s="6" t="s">
        <v>156</v>
      </c>
      <c r="D155" s="494" t="s">
        <v>219</v>
      </c>
      <c r="E155" s="494"/>
      <c r="F155" s="7">
        <v>128</v>
      </c>
      <c r="G155" s="330">
        <f>G156-G159</f>
        <v>671.43</v>
      </c>
      <c r="H155" s="330"/>
      <c r="I155" s="330">
        <f>I156-I159</f>
        <v>81541.93</v>
      </c>
      <c r="J155" s="330">
        <f>J156-J159</f>
        <v>969.94</v>
      </c>
      <c r="K155" s="330">
        <f>J155/I155*100</f>
        <v>1.1894984580325731</v>
      </c>
      <c r="L155" s="382">
        <f>L156-L159</f>
        <v>969.94</v>
      </c>
      <c r="M155" s="382">
        <f>M156-M159</f>
        <v>969.94</v>
      </c>
    </row>
    <row r="156" spans="1:13" ht="28.5" customHeight="1">
      <c r="A156" s="500"/>
      <c r="B156" s="7"/>
      <c r="C156" s="7"/>
      <c r="D156" s="40" t="s">
        <v>36</v>
      </c>
      <c r="E156" s="13" t="s">
        <v>248</v>
      </c>
      <c r="F156" s="7">
        <v>129</v>
      </c>
      <c r="G156" s="330">
        <f>G157+G158</f>
        <v>671.43</v>
      </c>
      <c r="H156" s="330"/>
      <c r="I156" s="330">
        <v>93047.61</v>
      </c>
      <c r="J156" s="330">
        <f>J157+J158</f>
        <v>969.94</v>
      </c>
      <c r="K156" s="330">
        <f>J156/I156*100</f>
        <v>1.042412588566219</v>
      </c>
      <c r="L156" s="382">
        <f>L157+L158</f>
        <v>969.94</v>
      </c>
      <c r="M156" s="382">
        <f>M157+M158</f>
        <v>969.94</v>
      </c>
    </row>
    <row r="157" spans="1:13" ht="28.5" customHeight="1">
      <c r="A157" s="500"/>
      <c r="B157" s="7"/>
      <c r="C157" s="7"/>
      <c r="D157" s="50" t="s">
        <v>220</v>
      </c>
      <c r="E157" s="49" t="s">
        <v>221</v>
      </c>
      <c r="F157" s="7">
        <v>130</v>
      </c>
      <c r="G157" s="330"/>
      <c r="H157" s="330"/>
      <c r="I157" s="330"/>
      <c r="J157" s="330"/>
      <c r="K157" s="330"/>
      <c r="L157" s="382"/>
      <c r="M157" s="382"/>
    </row>
    <row r="158" spans="1:13" ht="28.5" customHeight="1">
      <c r="A158" s="500"/>
      <c r="B158" s="7"/>
      <c r="C158" s="7"/>
      <c r="D158" s="50" t="s">
        <v>222</v>
      </c>
      <c r="E158" s="49" t="s">
        <v>223</v>
      </c>
      <c r="F158" s="7" t="s">
        <v>224</v>
      </c>
      <c r="G158" s="330">
        <v>671.43</v>
      </c>
      <c r="H158" s="330"/>
      <c r="I158" s="330"/>
      <c r="J158" s="330">
        <v>969.94</v>
      </c>
      <c r="K158" s="330"/>
      <c r="L158" s="382">
        <f>J158</f>
        <v>969.94</v>
      </c>
      <c r="M158" s="382">
        <f>L158</f>
        <v>969.94</v>
      </c>
    </row>
    <row r="159" spans="1:13" ht="42" customHeight="1">
      <c r="A159" s="500"/>
      <c r="B159" s="7"/>
      <c r="C159" s="7"/>
      <c r="D159" s="40" t="s">
        <v>38</v>
      </c>
      <c r="E159" s="13" t="s">
        <v>157</v>
      </c>
      <c r="F159" s="7">
        <v>131</v>
      </c>
      <c r="G159" s="330">
        <v>0</v>
      </c>
      <c r="H159" s="330"/>
      <c r="I159" s="330">
        <f>I160</f>
        <v>11505.68</v>
      </c>
      <c r="J159" s="330">
        <f>J160</f>
        <v>0</v>
      </c>
      <c r="K159" s="330">
        <f>J159/I159*100</f>
        <v>0</v>
      </c>
      <c r="L159" s="382"/>
      <c r="M159" s="382"/>
    </row>
    <row r="160" spans="1:13" ht="34.5" customHeight="1">
      <c r="A160" s="500"/>
      <c r="B160" s="7"/>
      <c r="C160" s="7"/>
      <c r="D160" s="12" t="s">
        <v>158</v>
      </c>
      <c r="E160" s="12" t="s">
        <v>225</v>
      </c>
      <c r="F160" s="7">
        <v>132</v>
      </c>
      <c r="G160" s="330">
        <f>G161+G162+G163</f>
        <v>0</v>
      </c>
      <c r="H160" s="330"/>
      <c r="I160" s="330">
        <f>I161+I162+I163</f>
        <v>11505.68</v>
      </c>
      <c r="J160" s="330">
        <f>J161+J162+J163</f>
        <v>0</v>
      </c>
      <c r="K160" s="330">
        <f>J160/I160*100</f>
        <v>0</v>
      </c>
      <c r="L160" s="382">
        <f>L161+L162+L163</f>
        <v>0</v>
      </c>
      <c r="M160" s="382">
        <f>M161+M162+M163</f>
        <v>0</v>
      </c>
    </row>
    <row r="161" spans="1:13" ht="25.5" customHeight="1">
      <c r="A161" s="500"/>
      <c r="B161" s="7"/>
      <c r="C161" s="7"/>
      <c r="D161" s="12"/>
      <c r="E161" s="12" t="s">
        <v>159</v>
      </c>
      <c r="F161" s="7">
        <v>133</v>
      </c>
      <c r="G161" s="381"/>
      <c r="H161" s="330"/>
      <c r="I161" s="381"/>
      <c r="J161" s="330"/>
      <c r="K161" s="330"/>
      <c r="L161" s="382"/>
      <c r="M161" s="382"/>
    </row>
    <row r="162" spans="1:13" ht="30.75" customHeight="1">
      <c r="A162" s="500"/>
      <c r="B162" s="7"/>
      <c r="C162" s="7"/>
      <c r="D162" s="12"/>
      <c r="E162" s="12" t="s">
        <v>160</v>
      </c>
      <c r="F162" s="7">
        <v>134</v>
      </c>
      <c r="G162" s="330"/>
      <c r="H162" s="330"/>
      <c r="I162" s="330">
        <v>11177.36</v>
      </c>
      <c r="J162" s="330">
        <v>0</v>
      </c>
      <c r="K162" s="330">
        <f>J162/I162*100</f>
        <v>0</v>
      </c>
      <c r="L162" s="382"/>
      <c r="M162" s="382"/>
    </row>
    <row r="163" spans="1:13" ht="17.25" customHeight="1">
      <c r="A163" s="500"/>
      <c r="B163" s="7"/>
      <c r="C163" s="7"/>
      <c r="D163" s="12"/>
      <c r="E163" s="12" t="s">
        <v>161</v>
      </c>
      <c r="F163" s="7">
        <v>135</v>
      </c>
      <c r="G163" s="330"/>
      <c r="H163" s="330"/>
      <c r="I163" s="330">
        <v>328.32</v>
      </c>
      <c r="J163" s="330">
        <v>0</v>
      </c>
      <c r="K163" s="330">
        <f>J163/I163*100</f>
        <v>0</v>
      </c>
      <c r="L163" s="382"/>
      <c r="M163" s="382"/>
    </row>
    <row r="164" spans="1:13" s="27" customFormat="1" ht="30" customHeight="1">
      <c r="A164" s="500"/>
      <c r="B164" s="8">
        <v>2</v>
      </c>
      <c r="C164" s="8"/>
      <c r="D164" s="505" t="s">
        <v>226</v>
      </c>
      <c r="E164" s="505"/>
      <c r="F164" s="8">
        <v>136</v>
      </c>
      <c r="G164" s="379">
        <f>G165+G168+G171</f>
        <v>217128</v>
      </c>
      <c r="H164" s="379"/>
      <c r="I164" s="379">
        <f>I165+I168+I171</f>
        <v>266792.4</v>
      </c>
      <c r="J164" s="379">
        <f>J165+J168+J171</f>
        <v>307518.12</v>
      </c>
      <c r="K164" s="379">
        <f aca="true" t="shared" si="8" ref="K164:K170">J164/I164*100</f>
        <v>115.26494757721733</v>
      </c>
      <c r="L164" s="384">
        <f>L165+L168+L171</f>
        <v>315821.10924</v>
      </c>
      <c r="M164" s="384">
        <f>M165+M168+M171</f>
        <v>323716.636971</v>
      </c>
    </row>
    <row r="165" spans="1:13" ht="29.25" customHeight="1">
      <c r="A165" s="500"/>
      <c r="B165" s="500"/>
      <c r="C165" s="7" t="s">
        <v>8</v>
      </c>
      <c r="D165" s="502" t="s">
        <v>227</v>
      </c>
      <c r="E165" s="502"/>
      <c r="F165" s="7">
        <v>137</v>
      </c>
      <c r="G165" s="330">
        <f>G166+G167</f>
        <v>22805</v>
      </c>
      <c r="H165" s="330"/>
      <c r="I165" s="330">
        <f>I166+I167</f>
        <v>7392.4400000000005</v>
      </c>
      <c r="J165" s="330">
        <f>J166+J167</f>
        <v>7518.12</v>
      </c>
      <c r="K165" s="330">
        <f t="shared" si="8"/>
        <v>101.70011525287997</v>
      </c>
      <c r="L165" s="382">
        <f>L166+L167</f>
        <v>7721.10924</v>
      </c>
      <c r="M165" s="382">
        <f>M166+M167</f>
        <v>7914.136970999999</v>
      </c>
    </row>
    <row r="166" spans="1:13" ht="15.75" customHeight="1">
      <c r="A166" s="500"/>
      <c r="B166" s="500"/>
      <c r="C166" s="7"/>
      <c r="D166" s="12" t="s">
        <v>10</v>
      </c>
      <c r="E166" s="12" t="s">
        <v>162</v>
      </c>
      <c r="F166" s="7">
        <v>138</v>
      </c>
      <c r="G166" s="330">
        <v>3950</v>
      </c>
      <c r="H166" s="380"/>
      <c r="I166" s="330">
        <v>1428.01</v>
      </c>
      <c r="J166" s="330">
        <v>1452.29</v>
      </c>
      <c r="K166" s="330">
        <f t="shared" si="8"/>
        <v>101.70026820540473</v>
      </c>
      <c r="L166" s="382">
        <f>J166*1.027</f>
        <v>1491.50183</v>
      </c>
      <c r="M166" s="382">
        <f>L166*1.025</f>
        <v>1528.7893757499999</v>
      </c>
    </row>
    <row r="167" spans="1:13" ht="28.5" customHeight="1">
      <c r="A167" s="500"/>
      <c r="B167" s="500"/>
      <c r="C167" s="7"/>
      <c r="D167" s="12" t="s">
        <v>12</v>
      </c>
      <c r="E167" s="12" t="s">
        <v>163</v>
      </c>
      <c r="F167" s="7">
        <v>139</v>
      </c>
      <c r="G167" s="330">
        <v>18855</v>
      </c>
      <c r="H167" s="380"/>
      <c r="I167" s="330">
        <v>5964.43</v>
      </c>
      <c r="J167" s="330">
        <v>6065.83</v>
      </c>
      <c r="K167" s="330">
        <f t="shared" si="8"/>
        <v>101.70007863282828</v>
      </c>
      <c r="L167" s="382">
        <f>J167*1.027</f>
        <v>6229.60741</v>
      </c>
      <c r="M167" s="382">
        <f>L167*1.025</f>
        <v>6385.347595249999</v>
      </c>
    </row>
    <row r="168" spans="1:13" ht="30.75" customHeight="1">
      <c r="A168" s="500"/>
      <c r="B168" s="500"/>
      <c r="C168" s="7" t="s">
        <v>20</v>
      </c>
      <c r="D168" s="502" t="s">
        <v>228</v>
      </c>
      <c r="E168" s="502"/>
      <c r="F168" s="7">
        <v>140</v>
      </c>
      <c r="G168" s="330">
        <f>G169+G170</f>
        <v>194323</v>
      </c>
      <c r="H168" s="330"/>
      <c r="I168" s="330">
        <f>I169+I170</f>
        <v>259399.96000000002</v>
      </c>
      <c r="J168" s="330">
        <f>J169+J170</f>
        <v>300000</v>
      </c>
      <c r="K168" s="330">
        <f t="shared" si="8"/>
        <v>115.65152130324152</v>
      </c>
      <c r="L168" s="382">
        <f>L169+L170</f>
        <v>308100</v>
      </c>
      <c r="M168" s="382">
        <f>M169+M170</f>
        <v>315802.5</v>
      </c>
    </row>
    <row r="169" spans="1:13" ht="15.75" customHeight="1">
      <c r="A169" s="500"/>
      <c r="B169" s="500"/>
      <c r="C169" s="7"/>
      <c r="D169" s="12" t="s">
        <v>59</v>
      </c>
      <c r="E169" s="12" t="s">
        <v>162</v>
      </c>
      <c r="F169" s="7">
        <v>141</v>
      </c>
      <c r="G169" s="330">
        <v>187873</v>
      </c>
      <c r="H169" s="380"/>
      <c r="I169" s="330">
        <v>248442.6</v>
      </c>
      <c r="J169" s="330">
        <v>295000</v>
      </c>
      <c r="K169" s="330">
        <f t="shared" si="8"/>
        <v>118.73970084035508</v>
      </c>
      <c r="L169" s="382">
        <f>J169*1.027</f>
        <v>302965</v>
      </c>
      <c r="M169" s="382">
        <f>L169*1.025</f>
        <v>310539.125</v>
      </c>
    </row>
    <row r="170" spans="1:13" ht="29.25" customHeight="1">
      <c r="A170" s="500"/>
      <c r="B170" s="500"/>
      <c r="C170" s="7"/>
      <c r="D170" s="12" t="s">
        <v>61</v>
      </c>
      <c r="E170" s="12" t="s">
        <v>163</v>
      </c>
      <c r="F170" s="7">
        <v>142</v>
      </c>
      <c r="G170" s="330">
        <v>6450</v>
      </c>
      <c r="H170" s="380"/>
      <c r="I170" s="330">
        <v>10957.36</v>
      </c>
      <c r="J170" s="330">
        <v>5000</v>
      </c>
      <c r="K170" s="330">
        <f t="shared" si="8"/>
        <v>45.6314294684121</v>
      </c>
      <c r="L170" s="382">
        <f>J170*1.027</f>
        <v>5135</v>
      </c>
      <c r="M170" s="382">
        <f>L170*1.025</f>
        <v>5263.374999999999</v>
      </c>
    </row>
    <row r="171" spans="1:13" ht="15.75" customHeight="1">
      <c r="A171" s="500"/>
      <c r="B171" s="500"/>
      <c r="C171" s="7" t="s">
        <v>22</v>
      </c>
      <c r="D171" s="502" t="s">
        <v>164</v>
      </c>
      <c r="E171" s="502"/>
      <c r="F171" s="7">
        <v>143</v>
      </c>
      <c r="G171" s="330">
        <v>0</v>
      </c>
      <c r="H171" s="380"/>
      <c r="I171" s="330"/>
      <c r="J171" s="330"/>
      <c r="K171" s="330"/>
      <c r="L171" s="382"/>
      <c r="M171" s="382"/>
    </row>
    <row r="172" spans="1:13" s="27" customFormat="1" ht="15.75" customHeight="1">
      <c r="A172" s="500"/>
      <c r="B172" s="8">
        <v>3</v>
      </c>
      <c r="C172" s="8"/>
      <c r="D172" s="505" t="s">
        <v>165</v>
      </c>
      <c r="E172" s="505"/>
      <c r="F172" s="8">
        <v>144</v>
      </c>
      <c r="G172" s="379">
        <v>0</v>
      </c>
      <c r="H172" s="383"/>
      <c r="I172" s="379">
        <v>0</v>
      </c>
      <c r="J172" s="379">
        <v>0</v>
      </c>
      <c r="K172" s="379"/>
      <c r="L172" s="384">
        <f>J172</f>
        <v>0</v>
      </c>
      <c r="M172" s="384">
        <f>L172</f>
        <v>0</v>
      </c>
    </row>
    <row r="173" spans="1:13" s="27" customFormat="1" ht="28.5" customHeight="1">
      <c r="A173" s="8" t="s">
        <v>166</v>
      </c>
      <c r="B173" s="8"/>
      <c r="C173" s="8"/>
      <c r="D173" s="505" t="s">
        <v>567</v>
      </c>
      <c r="E173" s="505"/>
      <c r="F173" s="8">
        <v>145</v>
      </c>
      <c r="G173" s="379">
        <f>G16-G48</f>
        <v>106866</v>
      </c>
      <c r="H173" s="379"/>
      <c r="I173" s="379">
        <f>I16-I48</f>
        <v>110000.00000000093</v>
      </c>
      <c r="J173" s="379">
        <f>J16-J48</f>
        <v>0</v>
      </c>
      <c r="K173" s="379">
        <f>J173/I173*100</f>
        <v>0</v>
      </c>
      <c r="L173" s="384">
        <f>L16-L48</f>
        <v>0.00047999899834394455</v>
      </c>
      <c r="M173" s="384">
        <f>M16-M48</f>
        <v>0.0014615003019571304</v>
      </c>
    </row>
    <row r="174" spans="1:13" ht="18" customHeight="1">
      <c r="A174" s="46"/>
      <c r="B174" s="56"/>
      <c r="C174" s="56"/>
      <c r="D174" s="51"/>
      <c r="E174" s="51" t="s">
        <v>230</v>
      </c>
      <c r="F174" s="54">
        <v>146</v>
      </c>
      <c r="G174" s="386"/>
      <c r="H174" s="381"/>
      <c r="I174" s="386"/>
      <c r="J174" s="330"/>
      <c r="K174" s="330"/>
      <c r="L174" s="382"/>
      <c r="M174" s="382"/>
    </row>
    <row r="175" spans="1:13" ht="18.75" customHeight="1">
      <c r="A175" s="46"/>
      <c r="B175" s="56"/>
      <c r="C175" s="56"/>
      <c r="D175" s="51"/>
      <c r="E175" s="51" t="s">
        <v>231</v>
      </c>
      <c r="F175" s="54">
        <v>147</v>
      </c>
      <c r="G175" s="381"/>
      <c r="H175" s="381"/>
      <c r="I175" s="381"/>
      <c r="J175" s="330"/>
      <c r="K175" s="330"/>
      <c r="L175" s="382"/>
      <c r="M175" s="382"/>
    </row>
    <row r="176" spans="1:13" ht="19.5" customHeight="1">
      <c r="A176" s="55" t="s">
        <v>167</v>
      </c>
      <c r="B176" s="58"/>
      <c r="C176" s="58"/>
      <c r="D176" s="489" t="s">
        <v>168</v>
      </c>
      <c r="E176" s="489"/>
      <c r="F176" s="54">
        <v>148</v>
      </c>
      <c r="G176" s="381"/>
      <c r="H176" s="381"/>
      <c r="I176" s="382">
        <v>30966.05</v>
      </c>
      <c r="J176" s="330"/>
      <c r="K176" s="330"/>
      <c r="L176" s="382"/>
      <c r="M176" s="382"/>
    </row>
    <row r="177" spans="1:13" ht="16.5" customHeight="1">
      <c r="A177" s="52" t="s">
        <v>169</v>
      </c>
      <c r="B177" s="57"/>
      <c r="C177" s="56"/>
      <c r="D177" s="491" t="s">
        <v>170</v>
      </c>
      <c r="E177" s="491"/>
      <c r="F177" s="54">
        <v>149</v>
      </c>
      <c r="G177" s="381"/>
      <c r="H177" s="381"/>
      <c r="I177" s="381"/>
      <c r="J177" s="330"/>
      <c r="K177" s="330"/>
      <c r="L177" s="382"/>
      <c r="M177" s="382"/>
    </row>
    <row r="178" spans="1:13" ht="17.25" customHeight="1">
      <c r="A178" s="52"/>
      <c r="B178" s="57">
        <v>1</v>
      </c>
      <c r="C178" s="56"/>
      <c r="D178" s="501" t="s">
        <v>232</v>
      </c>
      <c r="E178" s="501"/>
      <c r="F178" s="54">
        <v>150</v>
      </c>
      <c r="G178" s="382">
        <f>G114</f>
        <v>711739.68</v>
      </c>
      <c r="H178" s="382"/>
      <c r="I178" s="382">
        <f>I114</f>
        <v>701337.94</v>
      </c>
      <c r="J178" s="382">
        <f>J114</f>
        <v>833065.55</v>
      </c>
      <c r="K178" s="330">
        <f>J178/I178*100</f>
        <v>118.7823305267073</v>
      </c>
      <c r="L178" s="382">
        <f>L114</f>
        <v>833065.55</v>
      </c>
      <c r="M178" s="382">
        <f>M114</f>
        <v>833065.55</v>
      </c>
    </row>
    <row r="179" spans="1:13" ht="18" customHeight="1">
      <c r="A179" s="52"/>
      <c r="B179" s="57">
        <v>2</v>
      </c>
      <c r="C179" s="56"/>
      <c r="D179" s="491" t="s">
        <v>497</v>
      </c>
      <c r="E179" s="491"/>
      <c r="F179" s="54">
        <v>151</v>
      </c>
      <c r="G179" s="382">
        <f>G115</f>
        <v>681379.56</v>
      </c>
      <c r="H179" s="382"/>
      <c r="I179" s="382">
        <f>I115</f>
        <v>674007.72</v>
      </c>
      <c r="J179" s="382">
        <f>J115</f>
        <v>745128.28</v>
      </c>
      <c r="K179" s="330">
        <f>J179/I179*100</f>
        <v>110.551891008014</v>
      </c>
      <c r="L179" s="382">
        <f>L115</f>
        <v>745128.28</v>
      </c>
      <c r="M179" s="382">
        <f>M115</f>
        <v>745128.28</v>
      </c>
    </row>
    <row r="180" spans="1:13" ht="33.75" customHeight="1">
      <c r="A180" s="52"/>
      <c r="B180" s="57"/>
      <c r="C180" s="56"/>
      <c r="D180" s="491" t="s">
        <v>494</v>
      </c>
      <c r="E180" s="491"/>
      <c r="F180" s="54" t="s">
        <v>493</v>
      </c>
      <c r="G180" s="382"/>
      <c r="H180" s="382"/>
      <c r="I180" s="382"/>
      <c r="J180" s="330"/>
      <c r="K180" s="330"/>
      <c r="L180" s="382"/>
      <c r="M180" s="382"/>
    </row>
    <row r="181" spans="1:13" ht="31.5" customHeight="1">
      <c r="A181" s="52"/>
      <c r="B181" s="57"/>
      <c r="C181" s="56"/>
      <c r="D181" s="491" t="s">
        <v>495</v>
      </c>
      <c r="E181" s="491"/>
      <c r="F181" s="54" t="s">
        <v>496</v>
      </c>
      <c r="G181" s="382">
        <v>1919.51</v>
      </c>
      <c r="H181" s="382"/>
      <c r="I181" s="382"/>
      <c r="J181" s="330">
        <v>5984.43</v>
      </c>
      <c r="K181" s="330"/>
      <c r="L181" s="382"/>
      <c r="M181" s="382"/>
    </row>
    <row r="182" spans="1:13" ht="58.5" customHeight="1">
      <c r="A182" s="52"/>
      <c r="B182" s="57"/>
      <c r="C182" s="56"/>
      <c r="D182" s="501" t="s">
        <v>572</v>
      </c>
      <c r="E182" s="501"/>
      <c r="F182" s="53" t="s">
        <v>573</v>
      </c>
      <c r="G182" s="382">
        <v>18226.41</v>
      </c>
      <c r="H182" s="382"/>
      <c r="I182" s="382"/>
      <c r="J182" s="330"/>
      <c r="K182" s="330"/>
      <c r="L182" s="382"/>
      <c r="M182" s="382"/>
    </row>
    <row r="183" spans="1:13" ht="66" customHeight="1">
      <c r="A183" s="52"/>
      <c r="B183" s="57"/>
      <c r="C183" s="56"/>
      <c r="D183" s="466" t="s">
        <v>614</v>
      </c>
      <c r="E183" s="466"/>
      <c r="F183" s="53" t="s">
        <v>613</v>
      </c>
      <c r="G183" s="382"/>
      <c r="H183" s="382"/>
      <c r="I183" s="382"/>
      <c r="J183" s="387">
        <v>62934.85</v>
      </c>
      <c r="K183" s="330"/>
      <c r="L183" s="382"/>
      <c r="M183" s="382"/>
    </row>
    <row r="184" spans="1:13" ht="21.75" customHeight="1">
      <c r="A184" s="462"/>
      <c r="B184" s="56">
        <v>3</v>
      </c>
      <c r="C184" s="56"/>
      <c r="D184" s="491" t="s">
        <v>171</v>
      </c>
      <c r="E184" s="491"/>
      <c r="F184" s="54">
        <v>152</v>
      </c>
      <c r="G184" s="388">
        <v>23060</v>
      </c>
      <c r="H184" s="388"/>
      <c r="I184" s="388">
        <v>22156</v>
      </c>
      <c r="J184" s="389">
        <v>22256</v>
      </c>
      <c r="K184" s="330">
        <f>J184/I184*100</f>
        <v>100.4513450081242</v>
      </c>
      <c r="L184" s="388">
        <f>J184</f>
        <v>22256</v>
      </c>
      <c r="M184" s="388">
        <f>L184</f>
        <v>22256</v>
      </c>
    </row>
    <row r="185" spans="1:13" ht="15.75" customHeight="1">
      <c r="A185" s="462"/>
      <c r="B185" s="56">
        <v>4</v>
      </c>
      <c r="C185" s="56"/>
      <c r="D185" s="491" t="s">
        <v>233</v>
      </c>
      <c r="E185" s="491"/>
      <c r="F185" s="54">
        <v>153</v>
      </c>
      <c r="G185" s="388">
        <v>22647</v>
      </c>
      <c r="H185" s="388"/>
      <c r="I185" s="388">
        <v>21690</v>
      </c>
      <c r="J185" s="389">
        <v>21790</v>
      </c>
      <c r="K185" s="330">
        <f>J185/I185*100</f>
        <v>100.46104195481789</v>
      </c>
      <c r="L185" s="388">
        <f>J185</f>
        <v>21790</v>
      </c>
      <c r="M185" s="388">
        <f>L185</f>
        <v>21790</v>
      </c>
    </row>
    <row r="186" spans="1:13" ht="31.5" customHeight="1">
      <c r="A186" s="462"/>
      <c r="B186" s="56"/>
      <c r="C186" s="56"/>
      <c r="D186" s="491" t="s">
        <v>499</v>
      </c>
      <c r="E186" s="491"/>
      <c r="F186" s="54" t="s">
        <v>498</v>
      </c>
      <c r="G186" s="388"/>
      <c r="H186" s="388"/>
      <c r="I186" s="388"/>
      <c r="J186" s="330"/>
      <c r="K186" s="330"/>
      <c r="L186" s="382"/>
      <c r="M186" s="382"/>
    </row>
    <row r="187" spans="1:13" ht="27.75" customHeight="1">
      <c r="A187" s="462"/>
      <c r="B187" s="56"/>
      <c r="C187" s="56"/>
      <c r="D187" s="491" t="s">
        <v>500</v>
      </c>
      <c r="E187" s="491"/>
      <c r="F187" s="54" t="s">
        <v>501</v>
      </c>
      <c r="G187" s="388"/>
      <c r="H187" s="388"/>
      <c r="I187" s="388"/>
      <c r="J187" s="330"/>
      <c r="K187" s="330"/>
      <c r="L187" s="382"/>
      <c r="M187" s="382"/>
    </row>
    <row r="188" spans="1:13" ht="42" customHeight="1">
      <c r="A188" s="462"/>
      <c r="B188" s="56">
        <v>5</v>
      </c>
      <c r="C188" s="56" t="s">
        <v>8</v>
      </c>
      <c r="D188" s="491" t="s">
        <v>234</v>
      </c>
      <c r="E188" s="491"/>
      <c r="F188" s="54">
        <v>154</v>
      </c>
      <c r="G188" s="382">
        <f>(G179/G185)/12*1000</f>
        <v>2507.2473175255</v>
      </c>
      <c r="H188" s="382"/>
      <c r="I188" s="382">
        <f>(I179/I185)/12*1000</f>
        <v>2589.548639926233</v>
      </c>
      <c r="J188" s="382">
        <f>(J179/J185)/12*1000</f>
        <v>2849.6568762429247</v>
      </c>
      <c r="K188" s="330">
        <f>J188/I188*100</f>
        <v>110.04453951187807</v>
      </c>
      <c r="L188" s="382">
        <f>(L179/L185)/12*1000</f>
        <v>2849.6568762429247</v>
      </c>
      <c r="M188" s="382">
        <f>(M179/M185)/12*1000</f>
        <v>2849.6568762429247</v>
      </c>
    </row>
    <row r="189" spans="1:15" ht="42.75" customHeight="1">
      <c r="A189" s="462"/>
      <c r="B189" s="56"/>
      <c r="C189" s="56" t="s">
        <v>235</v>
      </c>
      <c r="D189" s="491" t="s">
        <v>502</v>
      </c>
      <c r="E189" s="491"/>
      <c r="F189" s="54">
        <v>155</v>
      </c>
      <c r="G189" s="382">
        <f>(G178-G120-G125)/G185/12*1000</f>
        <v>2593.8450273031017</v>
      </c>
      <c r="H189" s="382"/>
      <c r="I189" s="382">
        <f>(I178-I120-I125)/I185/12*1000</f>
        <v>2679.967189180882</v>
      </c>
      <c r="J189" s="382">
        <f>(J178-J120-J125)/J185/12*1000</f>
        <v>3043.2857579929637</v>
      </c>
      <c r="K189" s="330">
        <f>J189/I189*100</f>
        <v>113.55682898950445</v>
      </c>
      <c r="L189" s="382">
        <f>(L178-L120-L125)/L185/12*1000</f>
        <v>3043.2857579929637</v>
      </c>
      <c r="M189" s="382">
        <f>(M178-M120-M125)/M185/12*1000</f>
        <v>3043.2857579929637</v>
      </c>
      <c r="O189" s="120"/>
    </row>
    <row r="190" spans="1:15" ht="30.75" customHeight="1">
      <c r="A190" s="462"/>
      <c r="B190" s="56">
        <v>6</v>
      </c>
      <c r="C190" s="56" t="s">
        <v>8</v>
      </c>
      <c r="D190" s="491" t="s">
        <v>489</v>
      </c>
      <c r="E190" s="491"/>
      <c r="F190" s="54">
        <v>156</v>
      </c>
      <c r="G190" s="382">
        <f>G17/G185</f>
        <v>98.66695897911424</v>
      </c>
      <c r="H190" s="382"/>
      <c r="I190" s="382">
        <f>I17/I185</f>
        <v>161.11517519594284</v>
      </c>
      <c r="J190" s="382">
        <f>J17/J185</f>
        <v>179.04403396053235</v>
      </c>
      <c r="K190" s="330">
        <f>J190/I190*100</f>
        <v>111.1279764570811</v>
      </c>
      <c r="L190" s="382">
        <f>L17/L185</f>
        <v>180.7649198471776</v>
      </c>
      <c r="M190" s="382">
        <f>M17/M185</f>
        <v>182.79107532245294</v>
      </c>
      <c r="O190" s="120"/>
    </row>
    <row r="191" spans="1:15" ht="44.25" customHeight="1">
      <c r="A191" s="462"/>
      <c r="B191" s="56"/>
      <c r="C191" s="56" t="s">
        <v>20</v>
      </c>
      <c r="D191" s="491" t="s">
        <v>236</v>
      </c>
      <c r="E191" s="491"/>
      <c r="F191" s="54">
        <v>157</v>
      </c>
      <c r="G191" s="381"/>
      <c r="H191" s="381"/>
      <c r="I191" s="381"/>
      <c r="J191" s="330"/>
      <c r="K191" s="330"/>
      <c r="L191" s="382"/>
      <c r="M191" s="382"/>
      <c r="O191" s="120"/>
    </row>
    <row r="192" spans="1:15" ht="28.5" customHeight="1">
      <c r="A192" s="462"/>
      <c r="B192" s="56"/>
      <c r="C192" s="56" t="s">
        <v>76</v>
      </c>
      <c r="D192" s="491" t="s">
        <v>237</v>
      </c>
      <c r="E192" s="491"/>
      <c r="F192" s="54">
        <v>158</v>
      </c>
      <c r="G192" s="381"/>
      <c r="H192" s="381"/>
      <c r="I192" s="381"/>
      <c r="J192" s="330"/>
      <c r="K192" s="330"/>
      <c r="L192" s="382"/>
      <c r="M192" s="382"/>
      <c r="O192" s="312"/>
    </row>
    <row r="193" spans="1:15" ht="19.5" customHeight="1">
      <c r="A193" s="462"/>
      <c r="B193" s="56"/>
      <c r="C193" s="56"/>
      <c r="D193" s="51"/>
      <c r="E193" s="51" t="s">
        <v>238</v>
      </c>
      <c r="F193" s="54">
        <v>159</v>
      </c>
      <c r="G193" s="381"/>
      <c r="H193" s="381"/>
      <c r="I193" s="381"/>
      <c r="J193" s="330"/>
      <c r="K193" s="330"/>
      <c r="L193" s="382"/>
      <c r="M193" s="382"/>
      <c r="O193" s="120"/>
    </row>
    <row r="194" spans="1:13" ht="20.25" customHeight="1">
      <c r="A194" s="462"/>
      <c r="B194" s="56"/>
      <c r="C194" s="56"/>
      <c r="D194" s="51"/>
      <c r="E194" s="51" t="s">
        <v>239</v>
      </c>
      <c r="F194" s="54">
        <v>160</v>
      </c>
      <c r="G194" s="381"/>
      <c r="H194" s="381"/>
      <c r="I194" s="381"/>
      <c r="J194" s="330"/>
      <c r="K194" s="330"/>
      <c r="L194" s="382"/>
      <c r="M194" s="382"/>
    </row>
    <row r="195" spans="1:13" ht="18.75" customHeight="1">
      <c r="A195" s="462"/>
      <c r="B195" s="56"/>
      <c r="C195" s="56"/>
      <c r="D195" s="51"/>
      <c r="E195" s="51" t="s">
        <v>240</v>
      </c>
      <c r="F195" s="54">
        <v>161</v>
      </c>
      <c r="G195" s="381"/>
      <c r="H195" s="381"/>
      <c r="I195" s="381"/>
      <c r="J195" s="330"/>
      <c r="K195" s="330"/>
      <c r="L195" s="382"/>
      <c r="M195" s="382"/>
    </row>
    <row r="196" spans="1:13" ht="27.75" customHeight="1">
      <c r="A196" s="462"/>
      <c r="B196" s="56"/>
      <c r="C196" s="56"/>
      <c r="D196" s="51"/>
      <c r="E196" s="51" t="s">
        <v>241</v>
      </c>
      <c r="F196" s="54">
        <v>162</v>
      </c>
      <c r="G196" s="381"/>
      <c r="H196" s="381"/>
      <c r="I196" s="381"/>
      <c r="J196" s="330"/>
      <c r="K196" s="330"/>
      <c r="L196" s="382"/>
      <c r="M196" s="382"/>
    </row>
    <row r="197" spans="1:13" ht="19.5" customHeight="1">
      <c r="A197" s="47"/>
      <c r="B197" s="59">
        <v>7</v>
      </c>
      <c r="C197" s="59"/>
      <c r="D197" s="489" t="s">
        <v>177</v>
      </c>
      <c r="E197" s="489"/>
      <c r="F197" s="54">
        <v>163</v>
      </c>
      <c r="G197" s="382">
        <v>276900</v>
      </c>
      <c r="H197" s="382"/>
      <c r="I197" s="382">
        <v>276900</v>
      </c>
      <c r="J197" s="330">
        <v>235365</v>
      </c>
      <c r="K197" s="330">
        <f>J197/I197*100</f>
        <v>85</v>
      </c>
      <c r="L197" s="382">
        <f>'Anexa 6'!J17</f>
        <v>232365</v>
      </c>
      <c r="M197" s="382">
        <f>'Anexa 6'!L17</f>
        <v>229365</v>
      </c>
    </row>
    <row r="198" spans="1:13" ht="21" customHeight="1">
      <c r="A198" s="53"/>
      <c r="B198" s="56">
        <v>8</v>
      </c>
      <c r="C198" s="56"/>
      <c r="D198" s="489" t="s">
        <v>242</v>
      </c>
      <c r="E198" s="489"/>
      <c r="F198" s="60">
        <v>164</v>
      </c>
      <c r="G198" s="382">
        <v>800000</v>
      </c>
      <c r="H198" s="382"/>
      <c r="I198" s="382">
        <v>1014699.36</v>
      </c>
      <c r="J198" s="330">
        <v>1142000</v>
      </c>
      <c r="K198" s="330">
        <f>J198/I198*100</f>
        <v>112.54565096010309</v>
      </c>
      <c r="L198" s="382">
        <f>J198-100000</f>
        <v>1042000</v>
      </c>
      <c r="M198" s="382">
        <f>L198-100000</f>
        <v>942000</v>
      </c>
    </row>
    <row r="199" spans="1:13" ht="26.25" customHeight="1">
      <c r="A199" s="53"/>
      <c r="B199" s="56"/>
      <c r="C199" s="56"/>
      <c r="D199" s="48"/>
      <c r="E199" s="45" t="s">
        <v>243</v>
      </c>
      <c r="F199" s="54">
        <v>165</v>
      </c>
      <c r="G199" s="382"/>
      <c r="H199" s="382"/>
      <c r="I199" s="382"/>
      <c r="J199" s="330"/>
      <c r="K199" s="330"/>
      <c r="L199" s="382"/>
      <c r="M199" s="382"/>
    </row>
    <row r="200" spans="1:13" ht="21.75" customHeight="1">
      <c r="A200" s="53"/>
      <c r="B200" s="56"/>
      <c r="C200" s="56"/>
      <c r="D200" s="48"/>
      <c r="E200" s="45" t="s">
        <v>244</v>
      </c>
      <c r="F200" s="54">
        <v>166</v>
      </c>
      <c r="G200" s="382"/>
      <c r="H200" s="382"/>
      <c r="I200" s="382"/>
      <c r="J200" s="330"/>
      <c r="K200" s="330"/>
      <c r="L200" s="382"/>
      <c r="M200" s="382"/>
    </row>
    <row r="201" spans="1:13" ht="21" customHeight="1">
      <c r="A201" s="53"/>
      <c r="B201" s="56"/>
      <c r="C201" s="56"/>
      <c r="D201" s="48"/>
      <c r="E201" s="48" t="s">
        <v>245</v>
      </c>
      <c r="F201" s="54">
        <v>167</v>
      </c>
      <c r="G201" s="382"/>
      <c r="H201" s="382"/>
      <c r="I201" s="382"/>
      <c r="J201" s="330"/>
      <c r="K201" s="330"/>
      <c r="L201" s="382"/>
      <c r="M201" s="382"/>
    </row>
    <row r="202" spans="1:13" ht="21" customHeight="1">
      <c r="A202" s="53"/>
      <c r="B202" s="56"/>
      <c r="C202" s="56"/>
      <c r="D202" s="48"/>
      <c r="E202" s="48" t="s">
        <v>246</v>
      </c>
      <c r="F202" s="54">
        <v>168</v>
      </c>
      <c r="G202" s="382"/>
      <c r="H202" s="382"/>
      <c r="I202" s="382"/>
      <c r="J202" s="330"/>
      <c r="K202" s="330"/>
      <c r="L202" s="382"/>
      <c r="M202" s="382"/>
    </row>
    <row r="203" spans="1:13" ht="18" customHeight="1">
      <c r="A203" s="53"/>
      <c r="B203" s="56"/>
      <c r="C203" s="56"/>
      <c r="D203" s="48"/>
      <c r="E203" s="48" t="s">
        <v>247</v>
      </c>
      <c r="F203" s="54">
        <v>169</v>
      </c>
      <c r="G203" s="382"/>
      <c r="H203" s="382"/>
      <c r="I203" s="382"/>
      <c r="J203" s="330"/>
      <c r="K203" s="330"/>
      <c r="L203" s="382"/>
      <c r="M203" s="382"/>
    </row>
    <row r="204" spans="1:32" s="223" customFormat="1" ht="12.75" customHeight="1">
      <c r="A204" s="222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6" spans="1:13" ht="18" customHeight="1">
      <c r="A206" s="525" t="s">
        <v>313</v>
      </c>
      <c r="B206" s="525"/>
      <c r="C206" s="525"/>
      <c r="D206" s="525"/>
      <c r="E206" s="525"/>
      <c r="F206" s="525"/>
      <c r="G206" s="525"/>
      <c r="H206" s="525"/>
      <c r="I206" s="525"/>
      <c r="J206" s="525"/>
      <c r="K206" s="525"/>
      <c r="L206" s="525"/>
      <c r="M206" s="525"/>
    </row>
    <row r="207" spans="1:13" ht="18">
      <c r="A207" s="465" t="s">
        <v>562</v>
      </c>
      <c r="B207" s="465"/>
      <c r="C207" s="465"/>
      <c r="D207" s="465"/>
      <c r="E207" s="465"/>
      <c r="F207" s="465"/>
      <c r="G207" s="465"/>
      <c r="H207" s="465"/>
      <c r="I207" s="465"/>
      <c r="J207" s="465"/>
      <c r="K207" s="465"/>
      <c r="L207" s="465"/>
      <c r="M207" s="465"/>
    </row>
    <row r="208" spans="1:11" ht="18">
      <c r="A208" s="299"/>
      <c r="B208" s="299"/>
      <c r="C208" s="299"/>
      <c r="D208" s="299"/>
      <c r="E208" s="299"/>
      <c r="F208" s="299"/>
      <c r="G208" s="299"/>
      <c r="H208" s="299"/>
      <c r="I208" s="314"/>
      <c r="J208" s="314"/>
      <c r="K208" s="299"/>
    </row>
    <row r="209" spans="1:11" ht="18">
      <c r="A209" s="299"/>
      <c r="B209" s="299"/>
      <c r="C209" s="299"/>
      <c r="D209" s="299"/>
      <c r="E209" s="299"/>
      <c r="F209" s="299"/>
      <c r="G209" s="299"/>
      <c r="H209" s="299"/>
      <c r="I209" s="314"/>
      <c r="J209" s="314"/>
      <c r="K209" s="299"/>
    </row>
    <row r="210" spans="1:11" ht="14.25">
      <c r="A210" s="114"/>
      <c r="B210"/>
      <c r="C210" s="113"/>
      <c r="D210" s="115"/>
      <c r="E210" s="116"/>
      <c r="F210" s="70"/>
      <c r="G210" s="70"/>
      <c r="H210" s="70"/>
      <c r="I210" s="125"/>
      <c r="J210" s="139"/>
      <c r="K210"/>
    </row>
    <row r="211" spans="1:11" ht="14.25">
      <c r="A211" s="114"/>
      <c r="B211"/>
      <c r="C211" s="113"/>
      <c r="D211" s="115"/>
      <c r="E211" s="116"/>
      <c r="F211" s="70"/>
      <c r="G211" s="70"/>
      <c r="H211" s="70"/>
      <c r="I211" s="70"/>
      <c r="J211" s="139"/>
      <c r="K211"/>
    </row>
    <row r="212" spans="1:11" ht="15.75">
      <c r="A212" s="495" t="s">
        <v>314</v>
      </c>
      <c r="B212" s="495"/>
      <c r="C212" s="495"/>
      <c r="D212" s="495"/>
      <c r="E212" s="495"/>
      <c r="F212" s="495" t="s">
        <v>543</v>
      </c>
      <c r="G212" s="495"/>
      <c r="H212" s="495"/>
      <c r="I212" s="495"/>
      <c r="J212" s="70"/>
      <c r="K212" s="70"/>
    </row>
    <row r="213" spans="1:11" ht="15.75">
      <c r="A213" s="496" t="s">
        <v>492</v>
      </c>
      <c r="B213" s="496"/>
      <c r="C213" s="496"/>
      <c r="D213" s="496"/>
      <c r="E213" s="496"/>
      <c r="F213" s="496" t="s">
        <v>544</v>
      </c>
      <c r="G213" s="496"/>
      <c r="H213" s="496"/>
      <c r="I213" s="496"/>
      <c r="J213" s="70"/>
      <c r="K213" s="70"/>
    </row>
    <row r="214" spans="1:11" ht="15.75">
      <c r="A214" s="234"/>
      <c r="B214" s="234"/>
      <c r="C214" s="234"/>
      <c r="D214" s="115"/>
      <c r="E214" s="116"/>
      <c r="F214" s="504"/>
      <c r="G214" s="504"/>
      <c r="H214" s="504"/>
      <c r="I214" s="504"/>
      <c r="J214" s="504"/>
      <c r="K214" s="504"/>
    </row>
    <row r="215" spans="1:11" ht="15.75">
      <c r="A215" s="234"/>
      <c r="B215" s="234"/>
      <c r="C215" s="234"/>
      <c r="D215" s="115"/>
      <c r="E215" s="116"/>
      <c r="F215" s="300"/>
      <c r="G215" s="300"/>
      <c r="H215" s="300"/>
      <c r="I215" s="300"/>
      <c r="J215" s="300"/>
      <c r="K215" s="300"/>
    </row>
    <row r="216" spans="1:11" ht="15.75">
      <c r="A216" s="234"/>
      <c r="B216" s="234"/>
      <c r="C216" s="234"/>
      <c r="D216" s="115"/>
      <c r="E216" s="116"/>
      <c r="F216" s="300"/>
      <c r="G216" s="300"/>
      <c r="H216" s="300"/>
      <c r="I216" s="300"/>
      <c r="J216" s="300"/>
      <c r="K216" s="300"/>
    </row>
    <row r="217" spans="1:11" ht="15.75">
      <c r="A217" s="234"/>
      <c r="B217" s="234"/>
      <c r="C217" s="234"/>
      <c r="D217" s="115"/>
      <c r="E217" s="116"/>
      <c r="F217" s="300"/>
      <c r="G217" s="300"/>
      <c r="H217" s="300"/>
      <c r="I217" s="300"/>
      <c r="J217" s="300"/>
      <c r="K217" s="300"/>
    </row>
    <row r="218" spans="1:11" ht="15.75" customHeight="1">
      <c r="A218" s="234"/>
      <c r="B218" s="234"/>
      <c r="C218" s="234"/>
      <c r="D218" s="115"/>
      <c r="E218" s="495" t="s">
        <v>563</v>
      </c>
      <c r="F218" s="495"/>
      <c r="G218" s="495"/>
      <c r="H218" s="300"/>
      <c r="I218" s="495" t="s">
        <v>631</v>
      </c>
      <c r="J218" s="495"/>
      <c r="K218" s="495"/>
    </row>
    <row r="219" spans="1:11" ht="15.75" customHeight="1">
      <c r="A219" s="234"/>
      <c r="B219" s="234"/>
      <c r="C219" s="234"/>
      <c r="D219" s="115"/>
      <c r="E219" s="496" t="s">
        <v>634</v>
      </c>
      <c r="F219" s="496"/>
      <c r="G219" s="496"/>
      <c r="H219" s="300"/>
      <c r="I219" s="495" t="s">
        <v>491</v>
      </c>
      <c r="J219" s="495"/>
      <c r="K219" s="495"/>
    </row>
    <row r="220" spans="1:11" ht="15">
      <c r="A220" s="234"/>
      <c r="B220" s="234"/>
      <c r="C220" s="234"/>
      <c r="D220" s="115"/>
      <c r="E220" s="116"/>
      <c r="F220" s="70"/>
      <c r="G220" s="70"/>
      <c r="H220" s="70"/>
      <c r="I220" s="70"/>
      <c r="J220" s="139"/>
      <c r="K220"/>
    </row>
    <row r="221" spans="1:11" ht="14.25">
      <c r="A221" s="307"/>
      <c r="B221" s="307"/>
      <c r="C221" s="308"/>
      <c r="D221" s="115"/>
      <c r="E221" s="116"/>
      <c r="F221" s="70"/>
      <c r="G221" s="70"/>
      <c r="H221" s="70"/>
      <c r="I221" s="70"/>
      <c r="J221" s="139"/>
      <c r="K221"/>
    </row>
    <row r="222" spans="1:11" ht="14.25">
      <c r="A222" s="307"/>
      <c r="B222" s="125"/>
      <c r="C222" s="125"/>
      <c r="D222" s="115"/>
      <c r="E222" s="116"/>
      <c r="F222" s="70"/>
      <c r="G222" s="70"/>
      <c r="H222" s="70"/>
      <c r="I222" s="70"/>
      <c r="J222" s="139"/>
      <c r="K222"/>
    </row>
    <row r="223" spans="1:13" ht="12.75">
      <c r="A223" s="497" t="s">
        <v>316</v>
      </c>
      <c r="B223" s="497"/>
      <c r="C223" s="497"/>
      <c r="D223" s="497"/>
      <c r="E223" s="529" t="s">
        <v>545</v>
      </c>
      <c r="F223" s="529"/>
      <c r="G223" s="529" t="s">
        <v>546</v>
      </c>
      <c r="H223" s="529"/>
      <c r="I223" s="529" t="s">
        <v>565</v>
      </c>
      <c r="J223" s="529"/>
      <c r="K223" s="529"/>
      <c r="L223" s="325"/>
      <c r="M223" s="325"/>
    </row>
    <row r="224" spans="1:13" ht="12.75">
      <c r="A224" s="528" t="s">
        <v>315</v>
      </c>
      <c r="B224" s="528"/>
      <c r="C224" s="528"/>
      <c r="D224" s="528"/>
      <c r="E224" s="529" t="s">
        <v>547</v>
      </c>
      <c r="F224" s="529"/>
      <c r="G224" s="529" t="s">
        <v>548</v>
      </c>
      <c r="H224" s="529"/>
      <c r="I224" s="529" t="s">
        <v>566</v>
      </c>
      <c r="J224" s="529"/>
      <c r="K224" s="529"/>
      <c r="L224" s="325"/>
      <c r="M224" s="325"/>
    </row>
    <row r="225" spans="1:11" ht="15">
      <c r="A225" s="234"/>
      <c r="B225" s="234"/>
      <c r="C225" s="125"/>
      <c r="D225" s="115"/>
      <c r="E225" s="116"/>
      <c r="F225" s="70"/>
      <c r="G225" s="70"/>
      <c r="H225" s="70"/>
      <c r="I225" s="70"/>
      <c r="J225" s="139"/>
      <c r="K225"/>
    </row>
    <row r="226" spans="1:11" ht="15">
      <c r="A226" s="234"/>
      <c r="B226" s="234"/>
      <c r="C226" s="125"/>
      <c r="D226" s="115"/>
      <c r="E226" s="116"/>
      <c r="F226" s="70"/>
      <c r="G226" s="70"/>
      <c r="H226" s="70"/>
      <c r="I226" s="70"/>
      <c r="J226" s="139"/>
      <c r="K226"/>
    </row>
    <row r="227" spans="1:11" ht="15">
      <c r="A227" s="234"/>
      <c r="B227" s="234"/>
      <c r="C227" s="125"/>
      <c r="D227" s="115"/>
      <c r="E227" s="116"/>
      <c r="F227" s="70"/>
      <c r="G227" s="70"/>
      <c r="H227" s="70"/>
      <c r="I227" s="70"/>
      <c r="J227" s="139"/>
      <c r="K227"/>
    </row>
    <row r="228" spans="1:11" ht="15">
      <c r="A228" s="234"/>
      <c r="B228" s="234"/>
      <c r="C228" s="125"/>
      <c r="D228" s="115"/>
      <c r="E228" s="116"/>
      <c r="F228" s="70"/>
      <c r="G228" s="70"/>
      <c r="H228" s="70"/>
      <c r="I228" s="70"/>
      <c r="J228" s="139"/>
      <c r="K228"/>
    </row>
    <row r="229" spans="1:11" ht="15" customHeight="1">
      <c r="A229" s="234"/>
      <c r="B229" s="328"/>
      <c r="C229" s="329"/>
      <c r="D229" s="497" t="s">
        <v>564</v>
      </c>
      <c r="E229" s="497"/>
      <c r="F229" s="303"/>
      <c r="G229" s="497" t="s">
        <v>549</v>
      </c>
      <c r="H229" s="497"/>
      <c r="I229" s="70"/>
      <c r="J229" s="139"/>
      <c r="K229"/>
    </row>
    <row r="230" spans="1:11" ht="15">
      <c r="A230" s="234"/>
      <c r="B230" s="328"/>
      <c r="C230" s="329"/>
      <c r="D230" s="499" t="s">
        <v>576</v>
      </c>
      <c r="E230" s="499"/>
      <c r="F230" s="302"/>
      <c r="G230" s="497" t="s">
        <v>550</v>
      </c>
      <c r="H230" s="497"/>
      <c r="I230" s="70"/>
      <c r="J230" s="139"/>
      <c r="K230"/>
    </row>
    <row r="231" spans="1:11" ht="14.25">
      <c r="A231" s="307"/>
      <c r="B231" s="127"/>
      <c r="C231" s="125"/>
      <c r="D231" s="115"/>
      <c r="E231" s="116"/>
      <c r="F231" s="70"/>
      <c r="G231" s="70"/>
      <c r="H231" s="70"/>
      <c r="I231" s="70"/>
      <c r="J231" s="139"/>
      <c r="K231"/>
    </row>
    <row r="232" spans="1:11" ht="14.25">
      <c r="A232" s="307"/>
      <c r="B232" s="127"/>
      <c r="C232" s="125"/>
      <c r="D232" s="115"/>
      <c r="E232" s="116"/>
      <c r="F232" s="70"/>
      <c r="G232" s="70"/>
      <c r="H232" s="70"/>
      <c r="I232" s="70"/>
      <c r="J232" s="139"/>
      <c r="K232"/>
    </row>
    <row r="233" spans="1:11" ht="14.25">
      <c r="A233" s="307"/>
      <c r="B233" s="127"/>
      <c r="C233" s="125"/>
      <c r="D233" s="115"/>
      <c r="E233" s="116"/>
      <c r="F233" s="70"/>
      <c r="G233" s="70"/>
      <c r="H233" s="70"/>
      <c r="I233" s="70"/>
      <c r="J233" s="139"/>
      <c r="K233"/>
    </row>
    <row r="234" spans="1:11" ht="14.25">
      <c r="A234" s="526" t="s">
        <v>485</v>
      </c>
      <c r="B234" s="526"/>
      <c r="C234" s="526"/>
      <c r="D234" s="526"/>
      <c r="E234" s="116"/>
      <c r="F234" s="70"/>
      <c r="G234" s="70"/>
      <c r="H234" s="70"/>
      <c r="I234" s="70"/>
      <c r="J234" s="70"/>
      <c r="K234" s="70"/>
    </row>
    <row r="235" spans="1:11" ht="14.25">
      <c r="A235" s="527" t="s">
        <v>507</v>
      </c>
      <c r="B235" s="527"/>
      <c r="C235" s="527"/>
      <c r="D235" s="527"/>
      <c r="E235" s="116"/>
      <c r="F235" s="70"/>
      <c r="G235" s="70"/>
      <c r="H235" s="70"/>
      <c r="I235" s="70"/>
      <c r="J235" s="70"/>
      <c r="K235" s="70"/>
    </row>
    <row r="236" spans="1:11" ht="14.25">
      <c r="A236" s="233"/>
      <c r="B236" s="233"/>
      <c r="C236" s="125"/>
      <c r="D236" s="115"/>
      <c r="E236" s="116"/>
      <c r="F236" s="70"/>
      <c r="G236" s="70"/>
      <c r="H236" s="70"/>
      <c r="I236" s="70"/>
      <c r="J236" s="70"/>
      <c r="K236" s="70"/>
    </row>
    <row r="237" spans="1:11" ht="14.25">
      <c r="A237" s="127"/>
      <c r="B237" s="127"/>
      <c r="C237" s="125"/>
      <c r="D237" s="115"/>
      <c r="E237" s="116"/>
      <c r="F237" s="70"/>
      <c r="G237" s="70"/>
      <c r="H237" s="70"/>
      <c r="I237" s="70"/>
      <c r="J237" s="70"/>
      <c r="K237" s="70"/>
    </row>
    <row r="238" spans="1:11" ht="14.25">
      <c r="A238" s="127"/>
      <c r="B238" s="498" t="s">
        <v>508</v>
      </c>
      <c r="C238" s="498"/>
      <c r="D238" s="498"/>
      <c r="E238" s="498"/>
      <c r="F238" s="70"/>
      <c r="G238" s="70"/>
      <c r="H238" s="70"/>
      <c r="I238" s="70"/>
      <c r="J238" s="70"/>
      <c r="K238" s="70"/>
    </row>
    <row r="239" spans="1:11" ht="14.25">
      <c r="A239" s="24"/>
      <c r="B239" s="24"/>
      <c r="C239" s="24"/>
      <c r="D239" s="24"/>
      <c r="E239" s="116"/>
      <c r="F239" s="70"/>
      <c r="G239" s="70"/>
      <c r="H239" s="70"/>
      <c r="I239" s="70"/>
      <c r="J239" s="70"/>
      <c r="K239" s="70"/>
    </row>
    <row r="250" spans="3:6" ht="12.75">
      <c r="C250" s="493"/>
      <c r="D250" s="493"/>
      <c r="E250" s="493"/>
      <c r="F250" s="493"/>
    </row>
    <row r="683" ht="3.75" customHeight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4.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</sheetData>
  <sheetProtection/>
  <mergeCells count="167">
    <mergeCell ref="A207:M207"/>
    <mergeCell ref="D183:E183"/>
    <mergeCell ref="N12:N14"/>
    <mergeCell ref="D189:E189"/>
    <mergeCell ref="D107:E107"/>
    <mergeCell ref="D140:E140"/>
    <mergeCell ref="D128:E128"/>
    <mergeCell ref="D129:E129"/>
    <mergeCell ref="D142:E142"/>
    <mergeCell ref="D186:E186"/>
    <mergeCell ref="C141:C146"/>
    <mergeCell ref="D47:E47"/>
    <mergeCell ref="B165:B171"/>
    <mergeCell ref="D139:E139"/>
    <mergeCell ref="D111:E111"/>
    <mergeCell ref="D112:E112"/>
    <mergeCell ref="D106:E106"/>
    <mergeCell ref="D109:E109"/>
    <mergeCell ref="D120:E120"/>
    <mergeCell ref="D149:E149"/>
    <mergeCell ref="A184:A196"/>
    <mergeCell ref="D190:E190"/>
    <mergeCell ref="D124:E124"/>
    <mergeCell ref="C113:E113"/>
    <mergeCell ref="D130:E130"/>
    <mergeCell ref="D127:E127"/>
    <mergeCell ref="D143:E143"/>
    <mergeCell ref="D141:E141"/>
    <mergeCell ref="D123:E123"/>
    <mergeCell ref="D187:E187"/>
    <mergeCell ref="D180:E180"/>
    <mergeCell ref="D150:E150"/>
    <mergeCell ref="D181:E181"/>
    <mergeCell ref="D173:E173"/>
    <mergeCell ref="D153:E153"/>
    <mergeCell ref="D152:E152"/>
    <mergeCell ref="D151:E151"/>
    <mergeCell ref="D172:E172"/>
    <mergeCell ref="D179:E179"/>
    <mergeCell ref="D154:E154"/>
    <mergeCell ref="C250:F250"/>
    <mergeCell ref="D192:E192"/>
    <mergeCell ref="D155:E155"/>
    <mergeCell ref="D164:E164"/>
    <mergeCell ref="D178:E178"/>
    <mergeCell ref="D197:E197"/>
    <mergeCell ref="D198:E198"/>
    <mergeCell ref="D185:E185"/>
    <mergeCell ref="D168:E168"/>
    <mergeCell ref="D177:E177"/>
    <mergeCell ref="D191:E191"/>
    <mergeCell ref="C132:C138"/>
    <mergeCell ref="D132:E132"/>
    <mergeCell ref="D135:E135"/>
    <mergeCell ref="D138:E138"/>
    <mergeCell ref="D146:E146"/>
    <mergeCell ref="D188:E188"/>
    <mergeCell ref="D184:E184"/>
    <mergeCell ref="C147:E147"/>
    <mergeCell ref="D148:E148"/>
    <mergeCell ref="D165:E165"/>
    <mergeCell ref="D171:E171"/>
    <mergeCell ref="D176:E176"/>
    <mergeCell ref="D75:E75"/>
    <mergeCell ref="D82:E82"/>
    <mergeCell ref="D88:E88"/>
    <mergeCell ref="C104:E104"/>
    <mergeCell ref="D89:E89"/>
    <mergeCell ref="D91:E91"/>
    <mergeCell ref="D103:E103"/>
    <mergeCell ref="D105:E105"/>
    <mergeCell ref="D90:E90"/>
    <mergeCell ref="D114:E114"/>
    <mergeCell ref="D110:E110"/>
    <mergeCell ref="D94:E94"/>
    <mergeCell ref="D145:E145"/>
    <mergeCell ref="D115:E115"/>
    <mergeCell ref="D108:E108"/>
    <mergeCell ref="D144:E144"/>
    <mergeCell ref="D118:E118"/>
    <mergeCell ref="D119:E119"/>
    <mergeCell ref="D131:E131"/>
    <mergeCell ref="D125:E125"/>
    <mergeCell ref="D126:E126"/>
    <mergeCell ref="B52:B155"/>
    <mergeCell ref="C52:E52"/>
    <mergeCell ref="D53:E53"/>
    <mergeCell ref="D60:E60"/>
    <mergeCell ref="D73:E73"/>
    <mergeCell ref="D87:E87"/>
    <mergeCell ref="D72:E72"/>
    <mergeCell ref="C116:C118"/>
    <mergeCell ref="D116:E116"/>
    <mergeCell ref="D117:E117"/>
    <mergeCell ref="A2:E2"/>
    <mergeCell ref="A12:C14"/>
    <mergeCell ref="D12:E14"/>
    <mergeCell ref="A8:K8"/>
    <mergeCell ref="K12:K14"/>
    <mergeCell ref="G12:I12"/>
    <mergeCell ref="G13:H13"/>
    <mergeCell ref="J12:J14"/>
    <mergeCell ref="F12:F14"/>
    <mergeCell ref="A17:A47"/>
    <mergeCell ref="D32:E32"/>
    <mergeCell ref="D31:E31"/>
    <mergeCell ref="D26:E26"/>
    <mergeCell ref="B42:B46"/>
    <mergeCell ref="D56:E56"/>
    <mergeCell ref="D64:E64"/>
    <mergeCell ref="D45:E45"/>
    <mergeCell ref="D18:E18"/>
    <mergeCell ref="D41:E41"/>
    <mergeCell ref="D33:E33"/>
    <mergeCell ref="D43:E43"/>
    <mergeCell ref="B48:E48"/>
    <mergeCell ref="D46:E46"/>
    <mergeCell ref="D42:E42"/>
    <mergeCell ref="M12:M14"/>
    <mergeCell ref="C27:C28"/>
    <mergeCell ref="B15:C15"/>
    <mergeCell ref="D15:E15"/>
    <mergeCell ref="D16:E16"/>
    <mergeCell ref="B18:B32"/>
    <mergeCell ref="D17:E17"/>
    <mergeCell ref="L12:L14"/>
    <mergeCell ref="I13:I14"/>
    <mergeCell ref="D25:E25"/>
    <mergeCell ref="F214:H214"/>
    <mergeCell ref="I214:K214"/>
    <mergeCell ref="D70:E70"/>
    <mergeCell ref="D44:E44"/>
    <mergeCell ref="D67:E67"/>
    <mergeCell ref="D57:E57"/>
    <mergeCell ref="F213:I213"/>
    <mergeCell ref="D62:E62"/>
    <mergeCell ref="D63:E63"/>
    <mergeCell ref="C49:E49"/>
    <mergeCell ref="D71:E71"/>
    <mergeCell ref="D61:E61"/>
    <mergeCell ref="D92:E92"/>
    <mergeCell ref="D93:E93"/>
    <mergeCell ref="A49:A172"/>
    <mergeCell ref="G223:H223"/>
    <mergeCell ref="G224:H224"/>
    <mergeCell ref="I224:K224"/>
    <mergeCell ref="D182:E182"/>
    <mergeCell ref="I223:K223"/>
    <mergeCell ref="E218:G218"/>
    <mergeCell ref="A212:E212"/>
    <mergeCell ref="F212:I212"/>
    <mergeCell ref="A213:E213"/>
    <mergeCell ref="B238:E238"/>
    <mergeCell ref="D229:E229"/>
    <mergeCell ref="G229:H229"/>
    <mergeCell ref="D230:E230"/>
    <mergeCell ref="G230:H230"/>
    <mergeCell ref="A206:M206"/>
    <mergeCell ref="A234:D234"/>
    <mergeCell ref="A235:D235"/>
    <mergeCell ref="A224:D224"/>
    <mergeCell ref="E224:F224"/>
    <mergeCell ref="I218:K218"/>
    <mergeCell ref="E219:G219"/>
    <mergeCell ref="A223:D223"/>
    <mergeCell ref="E223:F223"/>
    <mergeCell ref="I219:K219"/>
  </mergeCells>
  <printOptions/>
  <pageMargins left="0.15748031496062992" right="0.15748031496062992" top="0.1968503937007874" bottom="0.1968503937007874" header="0.31496062992125984" footer="0.1574803149606299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4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421875" style="128" customWidth="1"/>
    <col min="2" max="2" width="47.8515625" style="125" customWidth="1"/>
    <col min="3" max="3" width="14.57421875" style="125" customWidth="1"/>
    <col min="4" max="4" width="14.140625" style="125" customWidth="1"/>
    <col min="5" max="5" width="9.140625" style="128" customWidth="1"/>
    <col min="6" max="6" width="11.8515625" style="125" customWidth="1"/>
    <col min="7" max="7" width="12.7109375" style="125" customWidth="1"/>
    <col min="8" max="8" width="8.8515625" style="128" customWidth="1"/>
    <col min="9" max="16384" width="9.140625" style="125" customWidth="1"/>
  </cols>
  <sheetData>
    <row r="1" spans="1:8" ht="14.25">
      <c r="A1" s="122" t="s">
        <v>0</v>
      </c>
      <c r="B1" s="123"/>
      <c r="C1" s="124"/>
      <c r="D1" s="123"/>
      <c r="E1"/>
      <c r="F1"/>
      <c r="G1"/>
      <c r="H1"/>
    </row>
    <row r="2" spans="1:8" ht="14.25">
      <c r="A2" s="468" t="s">
        <v>1</v>
      </c>
      <c r="B2" s="468"/>
      <c r="C2" s="468"/>
      <c r="D2" s="468"/>
      <c r="E2"/>
      <c r="F2"/>
      <c r="G2"/>
      <c r="H2"/>
    </row>
    <row r="3" spans="1:8" ht="14.25">
      <c r="A3" s="126" t="s">
        <v>2</v>
      </c>
      <c r="B3" s="123"/>
      <c r="C3" s="124"/>
      <c r="D3" s="123"/>
      <c r="E3"/>
      <c r="F3"/>
      <c r="G3" s="130" t="s">
        <v>317</v>
      </c>
      <c r="H3"/>
    </row>
    <row r="4" spans="1:8" ht="14.25">
      <c r="A4" s="126" t="s">
        <v>3</v>
      </c>
      <c r="B4" s="123"/>
      <c r="C4" s="124"/>
      <c r="D4" s="123"/>
      <c r="E4"/>
      <c r="F4"/>
      <c r="G4"/>
      <c r="H4"/>
    </row>
    <row r="5" spans="1:8" ht="12.75">
      <c r="A5"/>
      <c r="B5" s="127"/>
      <c r="C5"/>
      <c r="D5"/>
      <c r="E5"/>
      <c r="F5"/>
      <c r="G5"/>
      <c r="H5"/>
    </row>
    <row r="7" spans="1:8" ht="15.75">
      <c r="A7"/>
      <c r="B7" s="469" t="s">
        <v>318</v>
      </c>
      <c r="C7" s="469"/>
      <c r="D7" s="469"/>
      <c r="E7" s="469"/>
      <c r="F7" s="469"/>
      <c r="G7" s="469"/>
      <c r="H7" s="469"/>
    </row>
    <row r="9" spans="1:8" ht="12.75">
      <c r="A9"/>
      <c r="B9"/>
      <c r="C9"/>
      <c r="D9"/>
      <c r="E9"/>
      <c r="F9"/>
      <c r="G9"/>
      <c r="H9" s="128" t="s">
        <v>250</v>
      </c>
    </row>
    <row r="10" spans="1:8" ht="29.25" customHeight="1">
      <c r="A10" s="470" t="s">
        <v>319</v>
      </c>
      <c r="B10" s="470" t="s">
        <v>320</v>
      </c>
      <c r="C10" s="470" t="s">
        <v>506</v>
      </c>
      <c r="D10" s="470"/>
      <c r="E10" s="228" t="s">
        <v>251</v>
      </c>
      <c r="F10" s="470" t="s">
        <v>574</v>
      </c>
      <c r="G10" s="470"/>
      <c r="H10" s="228" t="s">
        <v>251</v>
      </c>
    </row>
    <row r="11" spans="1:8" ht="30" customHeight="1">
      <c r="A11" s="470"/>
      <c r="B11" s="470"/>
      <c r="C11" s="228" t="s">
        <v>533</v>
      </c>
      <c r="D11" s="235" t="s">
        <v>577</v>
      </c>
      <c r="E11" s="228" t="s">
        <v>321</v>
      </c>
      <c r="F11" s="228" t="s">
        <v>533</v>
      </c>
      <c r="G11" s="235" t="s">
        <v>322</v>
      </c>
      <c r="H11" s="228" t="s">
        <v>323</v>
      </c>
    </row>
    <row r="12" spans="1:8" s="130" customFormat="1" ht="12.75">
      <c r="A12" s="129">
        <v>0</v>
      </c>
      <c r="B12" s="129">
        <v>1</v>
      </c>
      <c r="C12" s="129">
        <v>2</v>
      </c>
      <c r="D12" s="129">
        <v>3</v>
      </c>
      <c r="E12" s="129">
        <v>4</v>
      </c>
      <c r="F12" s="129">
        <v>5</v>
      </c>
      <c r="G12" s="129">
        <v>6</v>
      </c>
      <c r="H12" s="129">
        <v>7</v>
      </c>
    </row>
    <row r="13" spans="1:8" s="135" customFormat="1" ht="19.5" customHeight="1">
      <c r="A13" s="131" t="s">
        <v>7</v>
      </c>
      <c r="B13" s="132" t="s">
        <v>324</v>
      </c>
      <c r="C13" s="133">
        <f>C14+C15+C16</f>
        <v>1717445.42</v>
      </c>
      <c r="D13" s="133">
        <f>D14+D15+D16</f>
        <v>1591642.98</v>
      </c>
      <c r="E13" s="133">
        <f>D13/C13*100</f>
        <v>92.67502544564124</v>
      </c>
      <c r="F13" s="133">
        <f>F14+F15+F16</f>
        <v>1515790.87</v>
      </c>
      <c r="G13" s="133">
        <f>G14+G15+G16</f>
        <v>2937099.4300000006</v>
      </c>
      <c r="H13" s="133">
        <f>G13/F13*100</f>
        <v>193.76679779051582</v>
      </c>
    </row>
    <row r="14" spans="1:8" s="135" customFormat="1" ht="21" customHeight="1">
      <c r="A14" s="131">
        <v>1</v>
      </c>
      <c r="B14" s="132" t="s">
        <v>505</v>
      </c>
      <c r="C14" s="133">
        <v>1241288.72</v>
      </c>
      <c r="D14" s="133">
        <v>1381919.66</v>
      </c>
      <c r="E14" s="133">
        <f>D14/C14*100</f>
        <v>111.32943027146818</v>
      </c>
      <c r="F14" s="133">
        <f>'Anexa 2'!G17-'Anexa 2'!G26</f>
        <v>1299257.62</v>
      </c>
      <c r="G14" s="133">
        <f>'Anexa 2'!I17-'Anexa 2'!I26</f>
        <v>2672752.5000000005</v>
      </c>
      <c r="H14" s="133">
        <f>G14/F14*100</f>
        <v>205.71382140518062</v>
      </c>
    </row>
    <row r="15" spans="1:8" s="135" customFormat="1" ht="20.25" customHeight="1">
      <c r="A15" s="131">
        <v>2</v>
      </c>
      <c r="B15" s="132" t="s">
        <v>259</v>
      </c>
      <c r="C15" s="133">
        <v>476156.7</v>
      </c>
      <c r="D15" s="134">
        <v>208085.75</v>
      </c>
      <c r="E15" s="133">
        <f>D15/C15*100</f>
        <v>43.70110721953508</v>
      </c>
      <c r="F15" s="133">
        <f>'Anexa 2'!G41</f>
        <v>216533.24999999997</v>
      </c>
      <c r="G15" s="134">
        <f>'Anexa 2'!I41</f>
        <v>264346.93000000005</v>
      </c>
      <c r="H15" s="133">
        <f>G15/F15*100</f>
        <v>122.08144938479428</v>
      </c>
    </row>
    <row r="16" spans="1:8" s="139" customFormat="1" ht="22.5" customHeight="1">
      <c r="A16" s="137">
        <v>3</v>
      </c>
      <c r="B16" s="138" t="s">
        <v>52</v>
      </c>
      <c r="C16" s="136">
        <v>0</v>
      </c>
      <c r="D16" s="134">
        <v>1637.57</v>
      </c>
      <c r="E16" s="133"/>
      <c r="F16" s="136">
        <f>'Anexa 2'!G47</f>
        <v>0</v>
      </c>
      <c r="G16" s="134">
        <f>'Anexa 2'!I47</f>
        <v>0</v>
      </c>
      <c r="H16" s="133"/>
    </row>
    <row r="17" spans="1:8" ht="12.75">
      <c r="A17" s="140"/>
      <c r="B17" s="141"/>
      <c r="C17" s="227"/>
      <c r="D17" s="227"/>
      <c r="E17" s="227"/>
      <c r="F17" s="227"/>
      <c r="G17" s="227"/>
      <c r="H17" s="226"/>
    </row>
    <row r="18" spans="1:8" ht="18.75" customHeight="1">
      <c r="A18" s="140"/>
      <c r="B18" s="284" t="s">
        <v>551</v>
      </c>
      <c r="C18" s="227"/>
      <c r="D18" s="227"/>
      <c r="E18" s="227"/>
      <c r="F18" s="227"/>
      <c r="G18" s="227"/>
      <c r="H18" s="226"/>
    </row>
    <row r="19" spans="1:8" ht="12.75">
      <c r="A19" s="140"/>
      <c r="B19" s="141"/>
      <c r="C19" s="227"/>
      <c r="D19" s="227"/>
      <c r="E19" s="227"/>
      <c r="F19" s="227"/>
      <c r="G19" s="227"/>
      <c r="H19" s="226"/>
    </row>
    <row r="21" spans="1:12" ht="18">
      <c r="A21" s="525" t="s">
        <v>313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</row>
    <row r="22" spans="1:13" ht="18">
      <c r="A22" s="465" t="s">
        <v>562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326"/>
    </row>
    <row r="23" spans="1:12" ht="18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</row>
    <row r="24" spans="1:12" ht="14.25">
      <c r="A24" s="114"/>
      <c r="B24"/>
      <c r="C24" s="113"/>
      <c r="D24" s="115"/>
      <c r="E24" s="116"/>
      <c r="F24" s="70"/>
      <c r="G24" s="70"/>
      <c r="H24" s="70"/>
      <c r="I24"/>
      <c r="J24" s="70"/>
      <c r="K24"/>
      <c r="L24"/>
    </row>
    <row r="25" spans="1:12" ht="15.75" customHeight="1">
      <c r="A25" s="495" t="s">
        <v>314</v>
      </c>
      <c r="B25" s="495"/>
      <c r="C25" s="29"/>
      <c r="D25" s="29"/>
      <c r="E25" s="29"/>
      <c r="F25" s="495" t="s">
        <v>543</v>
      </c>
      <c r="G25" s="495"/>
      <c r="H25" s="495"/>
      <c r="I25" s="495"/>
      <c r="J25" s="495"/>
      <c r="K25" s="69"/>
      <c r="L25" s="70"/>
    </row>
    <row r="26" spans="1:12" ht="15.75">
      <c r="A26" s="496" t="s">
        <v>492</v>
      </c>
      <c r="B26" s="496"/>
      <c r="C26" s="309"/>
      <c r="D26" s="309"/>
      <c r="E26" s="309"/>
      <c r="F26" s="496" t="s">
        <v>544</v>
      </c>
      <c r="G26" s="496"/>
      <c r="H26" s="496"/>
      <c r="I26" s="496"/>
      <c r="J26" s="496"/>
      <c r="K26" s="69"/>
      <c r="L26" s="70"/>
    </row>
    <row r="27" spans="1:12" ht="15.75">
      <c r="A27" s="234"/>
      <c r="B27" s="234"/>
      <c r="C27" s="234"/>
      <c r="D27" s="115"/>
      <c r="E27" s="116"/>
      <c r="F27" s="504"/>
      <c r="G27" s="504"/>
      <c r="H27" s="504"/>
      <c r="I27" s="504"/>
      <c r="J27" s="504"/>
      <c r="K27" s="504"/>
      <c r="L27" s="504"/>
    </row>
    <row r="28" spans="1:12" ht="15.75">
      <c r="A28" s="234"/>
      <c r="B28" s="234"/>
      <c r="C28" s="234"/>
      <c r="D28" s="115"/>
      <c r="E28" s="116"/>
      <c r="F28" s="300"/>
      <c r="G28" s="300"/>
      <c r="H28" s="300"/>
      <c r="I28" s="300"/>
      <c r="J28" s="300"/>
      <c r="K28" s="300"/>
      <c r="L28" s="300"/>
    </row>
    <row r="29" spans="1:12" ht="15.75">
      <c r="A29" s="234"/>
      <c r="B29" s="234"/>
      <c r="C29" s="234"/>
      <c r="D29" s="115"/>
      <c r="E29" s="116"/>
      <c r="F29" s="300"/>
      <c r="G29" s="300"/>
      <c r="H29" s="300"/>
      <c r="I29" s="300"/>
      <c r="J29" s="300"/>
      <c r="K29" s="300"/>
      <c r="L29" s="300"/>
    </row>
    <row r="30" spans="1:12" ht="15.75" customHeight="1">
      <c r="A30" s="234"/>
      <c r="B30" s="234"/>
      <c r="C30" s="495" t="s">
        <v>563</v>
      </c>
      <c r="D30" s="495"/>
      <c r="E30" s="495"/>
      <c r="G30" s="495" t="s">
        <v>631</v>
      </c>
      <c r="H30" s="495"/>
      <c r="I30" s="495"/>
      <c r="J30" s="495"/>
      <c r="L30" s="300"/>
    </row>
    <row r="31" spans="1:12" ht="15.75" customHeight="1">
      <c r="A31" s="234"/>
      <c r="B31" s="234"/>
      <c r="C31" s="496" t="s">
        <v>634</v>
      </c>
      <c r="D31" s="496"/>
      <c r="E31" s="496"/>
      <c r="G31" s="495" t="s">
        <v>491</v>
      </c>
      <c r="H31" s="495"/>
      <c r="I31" s="495"/>
      <c r="J31" s="495"/>
      <c r="L31" s="300"/>
    </row>
    <row r="32" spans="1:12" ht="15">
      <c r="A32" s="234"/>
      <c r="B32" s="234"/>
      <c r="C32" s="234"/>
      <c r="D32" s="115"/>
      <c r="E32" s="116"/>
      <c r="F32" s="70"/>
      <c r="G32" s="70"/>
      <c r="H32" s="70"/>
      <c r="I32"/>
      <c r="J32" s="70"/>
      <c r="K32"/>
      <c r="L32"/>
    </row>
    <row r="33" spans="1:12" ht="14.25">
      <c r="A33" s="307"/>
      <c r="B33" s="307"/>
      <c r="C33" s="308"/>
      <c r="D33" s="115"/>
      <c r="E33" s="116"/>
      <c r="F33" s="70"/>
      <c r="G33" s="70"/>
      <c r="H33" s="70"/>
      <c r="I33"/>
      <c r="J33" s="70"/>
      <c r="K33"/>
      <c r="L33"/>
    </row>
    <row r="34" spans="1:12" ht="14.25">
      <c r="A34" s="307"/>
      <c r="D34" s="115"/>
      <c r="E34" s="116"/>
      <c r="F34" s="70"/>
      <c r="G34" s="70"/>
      <c r="H34" s="70"/>
      <c r="I34"/>
      <c r="J34" s="70"/>
      <c r="K34"/>
      <c r="L34"/>
    </row>
    <row r="35" spans="1:13" ht="12.75" customHeight="1">
      <c r="A35" s="497" t="s">
        <v>316</v>
      </c>
      <c r="B35" s="497"/>
      <c r="C35" s="303"/>
      <c r="D35" s="529" t="s">
        <v>545</v>
      </c>
      <c r="E35" s="529"/>
      <c r="F35" s="529"/>
      <c r="G35" s="305"/>
      <c r="H35" s="529" t="s">
        <v>546</v>
      </c>
      <c r="I35" s="529"/>
      <c r="J35" s="304"/>
      <c r="K35" s="529" t="s">
        <v>565</v>
      </c>
      <c r="L35" s="529"/>
      <c r="M35" s="529"/>
    </row>
    <row r="36" spans="1:13" ht="12.75">
      <c r="A36" s="528" t="s">
        <v>315</v>
      </c>
      <c r="B36" s="528"/>
      <c r="C36" s="302"/>
      <c r="D36" s="529" t="s">
        <v>547</v>
      </c>
      <c r="E36" s="529"/>
      <c r="F36" s="529"/>
      <c r="G36" s="305"/>
      <c r="H36" s="529" t="s">
        <v>548</v>
      </c>
      <c r="I36" s="529"/>
      <c r="J36" s="304"/>
      <c r="K36" s="529" t="s">
        <v>566</v>
      </c>
      <c r="L36" s="529"/>
      <c r="M36" s="529"/>
    </row>
    <row r="37" spans="1:12" ht="15">
      <c r="A37" s="234"/>
      <c r="B37" s="234"/>
      <c r="D37" s="115"/>
      <c r="E37" s="116"/>
      <c r="F37" s="70"/>
      <c r="G37" s="70"/>
      <c r="H37" s="70"/>
      <c r="I37"/>
      <c r="J37" s="70"/>
      <c r="K37"/>
      <c r="L37"/>
    </row>
    <row r="38" spans="1:12" ht="15">
      <c r="A38" s="234"/>
      <c r="B38" s="234"/>
      <c r="D38" s="115"/>
      <c r="E38" s="116"/>
      <c r="F38" s="70"/>
      <c r="G38" s="70"/>
      <c r="H38" s="70"/>
      <c r="I38"/>
      <c r="J38" s="70"/>
      <c r="K38"/>
      <c r="L38"/>
    </row>
    <row r="39" spans="1:12" ht="15">
      <c r="A39" s="234"/>
      <c r="B39" s="234"/>
      <c r="D39" s="115"/>
      <c r="E39" s="116"/>
      <c r="F39" s="70"/>
      <c r="G39" s="70"/>
      <c r="H39" s="70"/>
      <c r="I39"/>
      <c r="J39" s="70"/>
      <c r="K39"/>
      <c r="L39"/>
    </row>
    <row r="40" spans="1:12" ht="15" customHeight="1">
      <c r="A40" s="234"/>
      <c r="B40" s="234"/>
      <c r="D40" s="497" t="s">
        <v>564</v>
      </c>
      <c r="E40" s="497"/>
      <c r="F40" s="303"/>
      <c r="G40" s="497" t="s">
        <v>549</v>
      </c>
      <c r="H40" s="497"/>
      <c r="I40"/>
      <c r="J40" s="70"/>
      <c r="K40"/>
      <c r="L40"/>
    </row>
    <row r="41" spans="1:12" ht="15">
      <c r="A41" s="234"/>
      <c r="B41" s="234"/>
      <c r="D41" s="499" t="s">
        <v>576</v>
      </c>
      <c r="E41" s="499"/>
      <c r="F41" s="302"/>
      <c r="G41" s="497" t="s">
        <v>550</v>
      </c>
      <c r="H41" s="497"/>
      <c r="I41"/>
      <c r="J41" s="70"/>
      <c r="K41"/>
      <c r="L41"/>
    </row>
    <row r="42" spans="1:12" ht="14.25">
      <c r="A42" s="526" t="s">
        <v>485</v>
      </c>
      <c r="B42" s="526"/>
      <c r="C42" s="526"/>
      <c r="D42" s="526"/>
      <c r="E42" s="116"/>
      <c r="F42" s="70"/>
      <c r="G42" s="70"/>
      <c r="H42" s="70"/>
      <c r="I42" s="70"/>
      <c r="J42" s="69"/>
      <c r="K42" s="69"/>
      <c r="L42" s="70"/>
    </row>
    <row r="43" spans="1:12" ht="14.25">
      <c r="A43" s="527" t="s">
        <v>507</v>
      </c>
      <c r="B43" s="527"/>
      <c r="C43" s="527"/>
      <c r="D43" s="527"/>
      <c r="E43" s="116"/>
      <c r="F43" s="70"/>
      <c r="G43" s="70"/>
      <c r="H43" s="70"/>
      <c r="I43" s="70"/>
      <c r="J43" s="69"/>
      <c r="K43" s="69"/>
      <c r="L43" s="70"/>
    </row>
    <row r="44" spans="1:12" ht="14.25">
      <c r="A44" s="233"/>
      <c r="B44" s="233"/>
      <c r="D44" s="115"/>
      <c r="E44" s="116"/>
      <c r="F44" s="70"/>
      <c r="G44" s="70"/>
      <c r="H44" s="70"/>
      <c r="I44" s="70"/>
      <c r="J44" s="69"/>
      <c r="K44" s="69"/>
      <c r="L44" s="70"/>
    </row>
    <row r="45" spans="1:12" ht="14.25">
      <c r="A45" s="233"/>
      <c r="B45" s="498" t="s">
        <v>508</v>
      </c>
      <c r="C45" s="498"/>
      <c r="D45" s="498"/>
      <c r="E45" s="498"/>
      <c r="F45" s="70"/>
      <c r="G45" s="70"/>
      <c r="H45" s="70"/>
      <c r="I45" s="70"/>
      <c r="J45" s="69"/>
      <c r="K45" s="69"/>
      <c r="L45" s="70"/>
    </row>
    <row r="46" spans="1:12" ht="14.25">
      <c r="A46" s="127"/>
      <c r="E46" s="125"/>
      <c r="F46" s="70"/>
      <c r="G46" s="70"/>
      <c r="H46" s="70"/>
      <c r="I46" s="70"/>
      <c r="J46" s="69"/>
      <c r="K46" s="69"/>
      <c r="L46" s="70"/>
    </row>
    <row r="47" spans="1:12" ht="14.25">
      <c r="A47" s="127"/>
      <c r="E47" s="125"/>
      <c r="F47" s="70"/>
      <c r="G47" s="70"/>
      <c r="H47" s="70"/>
      <c r="I47" s="70"/>
      <c r="J47" s="69"/>
      <c r="K47" s="69"/>
      <c r="L47" s="70"/>
    </row>
  </sheetData>
  <sheetProtection/>
  <mergeCells count="33">
    <mergeCell ref="A21:L21"/>
    <mergeCell ref="A2:D2"/>
    <mergeCell ref="B7:H7"/>
    <mergeCell ref="A10:A11"/>
    <mergeCell ref="B10:B11"/>
    <mergeCell ref="C10:D10"/>
    <mergeCell ref="F10:G10"/>
    <mergeCell ref="A42:D42"/>
    <mergeCell ref="D35:F35"/>
    <mergeCell ref="D36:F36"/>
    <mergeCell ref="D40:E40"/>
    <mergeCell ref="A35:B35"/>
    <mergeCell ref="A36:B36"/>
    <mergeCell ref="A22:L22"/>
    <mergeCell ref="F25:J25"/>
    <mergeCell ref="A43:D43"/>
    <mergeCell ref="H35:I35"/>
    <mergeCell ref="H36:I36"/>
    <mergeCell ref="K35:M35"/>
    <mergeCell ref="K36:M36"/>
    <mergeCell ref="G31:J31"/>
    <mergeCell ref="G30:J30"/>
    <mergeCell ref="G41:H41"/>
    <mergeCell ref="B45:E45"/>
    <mergeCell ref="A25:B25"/>
    <mergeCell ref="A26:B26"/>
    <mergeCell ref="G40:H40"/>
    <mergeCell ref="D41:E41"/>
    <mergeCell ref="C30:E30"/>
    <mergeCell ref="C31:E31"/>
    <mergeCell ref="F26:J26"/>
    <mergeCell ref="F27:I27"/>
    <mergeCell ref="J27:L27"/>
  </mergeCells>
  <printOptions/>
  <pageMargins left="0.23" right="0.17" top="0.22" bottom="0.1968503937007874" header="0.17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L345"/>
  <sheetViews>
    <sheetView zoomScalePageLayoutView="0" workbookViewId="0" topLeftCell="A167">
      <selection activeCell="P186" sqref="P186"/>
    </sheetView>
  </sheetViews>
  <sheetFormatPr defaultColWidth="9.140625" defaultRowHeight="12.75"/>
  <cols>
    <col min="1" max="1" width="4.7109375" style="14" customWidth="1"/>
    <col min="2" max="2" width="3.28125" style="14" customWidth="1"/>
    <col min="3" max="3" width="3.57421875" style="14" customWidth="1"/>
    <col min="4" max="4" width="5.7109375" style="14" customWidth="1"/>
    <col min="5" max="5" width="31.00390625" style="34" customWidth="1"/>
    <col min="6" max="6" width="4.28125" style="14" customWidth="1"/>
    <col min="7" max="7" width="13.7109375" style="24" customWidth="1"/>
    <col min="8" max="8" width="11.57421875" style="224" customWidth="1"/>
    <col min="9" max="9" width="12.7109375" style="365" hidden="1" customWidth="1"/>
    <col min="10" max="10" width="11.7109375" style="142" customWidth="1"/>
    <col min="11" max="11" width="11.7109375" style="365" hidden="1" customWidth="1"/>
    <col min="12" max="12" width="13.00390625" style="142" customWidth="1"/>
    <col min="13" max="13" width="11.421875" style="365" hidden="1" customWidth="1"/>
    <col min="14" max="14" width="11.7109375" style="142" customWidth="1"/>
    <col min="15" max="16" width="12.00390625" style="429" customWidth="1"/>
    <col min="17" max="17" width="15.421875" style="142" customWidth="1"/>
    <col min="18" max="18" width="14.140625" style="142" hidden="1" customWidth="1"/>
    <col min="19" max="19" width="15.00390625" style="142" hidden="1" customWidth="1"/>
    <col min="20" max="20" width="13.421875" style="142" hidden="1" customWidth="1"/>
    <col min="21" max="22" width="15.00390625" style="142" hidden="1" customWidth="1"/>
    <col min="23" max="23" width="14.140625" style="142" hidden="1" customWidth="1"/>
    <col min="24" max="31" width="0" style="142" hidden="1" customWidth="1"/>
    <col min="32" max="32" width="9.140625" style="142" customWidth="1"/>
    <col min="33" max="33" width="10.140625" style="142" bestFit="1" customWidth="1"/>
    <col min="34" max="34" width="11.421875" style="142" bestFit="1" customWidth="1"/>
    <col min="35" max="35" width="12.7109375" style="142" bestFit="1" customWidth="1"/>
    <col min="36" max="38" width="11.421875" style="142" bestFit="1" customWidth="1"/>
    <col min="39" max="16384" width="9.140625" style="142" customWidth="1"/>
  </cols>
  <sheetData>
    <row r="1" spans="1:16" ht="12.75">
      <c r="A1" s="142" t="s">
        <v>0</v>
      </c>
      <c r="B1" s="142"/>
      <c r="C1" s="142"/>
      <c r="D1" s="142"/>
      <c r="E1" s="142"/>
      <c r="F1" s="142"/>
      <c r="G1" s="142"/>
      <c r="H1" s="142"/>
      <c r="O1" s="142"/>
      <c r="P1" s="142"/>
    </row>
    <row r="2" spans="1:16" ht="12.75">
      <c r="A2" s="142" t="s">
        <v>1</v>
      </c>
      <c r="B2" s="142"/>
      <c r="C2" s="142"/>
      <c r="D2" s="142"/>
      <c r="E2" s="142"/>
      <c r="F2" s="142"/>
      <c r="G2" s="142"/>
      <c r="H2" s="142"/>
      <c r="O2" s="142"/>
      <c r="P2" s="142"/>
    </row>
    <row r="3" spans="1:16" ht="12.75">
      <c r="A3" s="142" t="s">
        <v>2</v>
      </c>
      <c r="B3" s="142"/>
      <c r="C3" s="142"/>
      <c r="D3" s="142"/>
      <c r="E3" s="142"/>
      <c r="F3" s="142"/>
      <c r="G3" s="142"/>
      <c r="H3" s="142"/>
      <c r="N3" s="142" t="s">
        <v>325</v>
      </c>
      <c r="O3" s="142"/>
      <c r="P3" s="142"/>
    </row>
    <row r="4" spans="1:16" ht="12.75">
      <c r="A4" s="142" t="s">
        <v>3</v>
      </c>
      <c r="B4" s="142"/>
      <c r="C4" s="142"/>
      <c r="D4" s="142"/>
      <c r="E4" s="142"/>
      <c r="F4" s="142"/>
      <c r="G4" s="142"/>
      <c r="H4" s="142"/>
      <c r="O4" s="142"/>
      <c r="P4" s="142"/>
    </row>
    <row r="5" spans="1:16" ht="12.75">
      <c r="A5" s="142"/>
      <c r="B5" s="142"/>
      <c r="C5" s="142"/>
      <c r="D5" s="142"/>
      <c r="E5" s="142"/>
      <c r="F5" s="142"/>
      <c r="G5" s="142"/>
      <c r="H5" s="142"/>
      <c r="O5" s="142"/>
      <c r="P5" s="142"/>
    </row>
    <row r="6" spans="1:16" ht="12.75">
      <c r="A6" s="142"/>
      <c r="B6" s="142"/>
      <c r="C6" s="142"/>
      <c r="D6" s="142"/>
      <c r="E6" s="142"/>
      <c r="F6" s="142"/>
      <c r="G6" s="142"/>
      <c r="H6" s="142"/>
      <c r="O6" s="142"/>
      <c r="P6" s="142"/>
    </row>
    <row r="7" spans="1:16" ht="12.75">
      <c r="A7" s="142"/>
      <c r="B7" s="142"/>
      <c r="C7" s="142"/>
      <c r="D7" s="142"/>
      <c r="E7" s="142"/>
      <c r="F7" s="142"/>
      <c r="G7" s="142"/>
      <c r="H7" s="142"/>
      <c r="O7" s="142"/>
      <c r="P7" s="142"/>
    </row>
    <row r="8" spans="1:16" ht="12.75">
      <c r="A8" s="142"/>
      <c r="B8" s="142"/>
      <c r="C8" s="142"/>
      <c r="D8" s="142"/>
      <c r="E8" s="142"/>
      <c r="F8" s="142"/>
      <c r="G8" s="142"/>
      <c r="H8" s="142"/>
      <c r="O8" s="142"/>
      <c r="P8" s="142"/>
    </row>
    <row r="9" spans="1:16" ht="21.75" customHeight="1">
      <c r="A9" s="531" t="s">
        <v>326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142"/>
      <c r="P9" s="142"/>
    </row>
    <row r="10" spans="1:16" ht="19.5" customHeight="1">
      <c r="A10" s="142"/>
      <c r="B10" s="142"/>
      <c r="C10" s="142"/>
      <c r="D10" s="142"/>
      <c r="E10" s="142"/>
      <c r="F10" s="142"/>
      <c r="G10" s="142"/>
      <c r="H10" s="142"/>
      <c r="O10" s="142"/>
      <c r="P10" s="142"/>
    </row>
    <row r="11" spans="1:16" ht="20.25" customHeight="1">
      <c r="A11" s="142"/>
      <c r="B11" s="142"/>
      <c r="C11" s="142"/>
      <c r="D11" s="142"/>
      <c r="E11" s="142"/>
      <c r="F11" s="142"/>
      <c r="G11" s="142"/>
      <c r="H11" s="142"/>
      <c r="O11" s="142"/>
      <c r="P11" s="142"/>
    </row>
    <row r="12" spans="1:23" ht="18.75" customHeight="1">
      <c r="A12" s="142"/>
      <c r="B12" s="142"/>
      <c r="C12" s="142"/>
      <c r="D12" s="142"/>
      <c r="E12" s="142"/>
      <c r="F12" s="142"/>
      <c r="G12" s="142"/>
      <c r="H12" s="142"/>
      <c r="N12" s="143" t="s">
        <v>250</v>
      </c>
      <c r="O12" s="142"/>
      <c r="P12" s="142"/>
      <c r="R12" s="144"/>
      <c r="S12" s="145"/>
      <c r="T12" s="145"/>
      <c r="U12" s="145"/>
      <c r="V12" s="145"/>
      <c r="W12" s="144"/>
    </row>
    <row r="13" spans="1:23" ht="37.5" customHeight="1">
      <c r="A13" s="480" t="s">
        <v>439</v>
      </c>
      <c r="B13" s="480"/>
      <c r="C13" s="480"/>
      <c r="D13" s="480" t="s">
        <v>5</v>
      </c>
      <c r="E13" s="480"/>
      <c r="F13" s="480" t="s">
        <v>6</v>
      </c>
      <c r="G13" s="532" t="s">
        <v>575</v>
      </c>
      <c r="H13" s="533" t="s">
        <v>327</v>
      </c>
      <c r="I13" s="534" t="s">
        <v>328</v>
      </c>
      <c r="J13" s="477" t="s">
        <v>328</v>
      </c>
      <c r="K13" s="534" t="s">
        <v>486</v>
      </c>
      <c r="L13" s="477" t="s">
        <v>487</v>
      </c>
      <c r="M13" s="534" t="s">
        <v>329</v>
      </c>
      <c r="N13" s="477" t="s">
        <v>329</v>
      </c>
      <c r="O13" s="142"/>
      <c r="P13" s="142"/>
      <c r="R13" s="146"/>
      <c r="S13" s="145"/>
      <c r="T13" s="145"/>
      <c r="U13" s="145"/>
      <c r="V13" s="145"/>
      <c r="W13" s="144"/>
    </row>
    <row r="14" spans="1:23" ht="36" customHeight="1">
      <c r="A14" s="480"/>
      <c r="B14" s="480"/>
      <c r="C14" s="480"/>
      <c r="D14" s="480"/>
      <c r="E14" s="480"/>
      <c r="F14" s="480"/>
      <c r="G14" s="532"/>
      <c r="H14" s="533"/>
      <c r="I14" s="534"/>
      <c r="J14" s="477"/>
      <c r="K14" s="534"/>
      <c r="L14" s="477"/>
      <c r="M14" s="534"/>
      <c r="N14" s="477"/>
      <c r="O14" s="142"/>
      <c r="P14" s="142"/>
      <c r="R14" s="146"/>
      <c r="S14" s="146"/>
      <c r="T14" s="146"/>
      <c r="U14" s="146"/>
      <c r="V14" s="146"/>
      <c r="W14" s="144"/>
    </row>
    <row r="15" spans="1:23" s="286" customFormat="1" ht="15.75" customHeight="1">
      <c r="A15" s="378"/>
      <c r="B15" s="475"/>
      <c r="C15" s="475"/>
      <c r="D15" s="530">
        <v>0</v>
      </c>
      <c r="E15" s="530"/>
      <c r="F15" s="378">
        <v>1</v>
      </c>
      <c r="G15" s="392">
        <v>2</v>
      </c>
      <c r="H15" s="393">
        <v>3</v>
      </c>
      <c r="I15" s="394"/>
      <c r="J15" s="392">
        <v>4</v>
      </c>
      <c r="K15" s="394"/>
      <c r="L15" s="392">
        <v>5</v>
      </c>
      <c r="M15" s="394"/>
      <c r="N15" s="392">
        <v>6</v>
      </c>
      <c r="O15" s="142"/>
      <c r="P15" s="142"/>
      <c r="Q15" s="142"/>
      <c r="R15" s="287"/>
      <c r="S15" s="287"/>
      <c r="T15" s="287"/>
      <c r="U15" s="287"/>
      <c r="V15" s="287"/>
      <c r="W15" s="288"/>
    </row>
    <row r="16" spans="1:23" ht="43.5" customHeight="1">
      <c r="A16" s="395" t="s">
        <v>7</v>
      </c>
      <c r="B16" s="395"/>
      <c r="C16" s="395"/>
      <c r="D16" s="473" t="s">
        <v>181</v>
      </c>
      <c r="E16" s="473"/>
      <c r="F16" s="395">
        <v>1</v>
      </c>
      <c r="G16" s="379">
        <f aca="true" t="shared" si="0" ref="G16:M16">G17+G41+G47</f>
        <v>4212131.09</v>
      </c>
      <c r="H16" s="379">
        <f t="shared" si="0"/>
        <v>584046.115</v>
      </c>
      <c r="I16" s="396">
        <f t="shared" si="0"/>
        <v>852466.62</v>
      </c>
      <c r="J16" s="379">
        <f t="shared" si="0"/>
        <v>1436512.7349999999</v>
      </c>
      <c r="K16" s="396">
        <f t="shared" si="0"/>
        <v>1203846.85</v>
      </c>
      <c r="L16" s="379">
        <f t="shared" si="0"/>
        <v>2640359.585</v>
      </c>
      <c r="M16" s="396">
        <f t="shared" si="0"/>
        <v>1571771.5000000002</v>
      </c>
      <c r="N16" s="379">
        <f>G16</f>
        <v>4212131.09</v>
      </c>
      <c r="O16" s="142"/>
      <c r="P16" s="142"/>
      <c r="R16" s="16"/>
      <c r="S16" s="16"/>
      <c r="T16" s="16"/>
      <c r="U16" s="16"/>
      <c r="V16" s="16"/>
      <c r="W16" s="148"/>
    </row>
    <row r="17" spans="1:23" ht="41.25" customHeight="1">
      <c r="A17" s="506"/>
      <c r="B17" s="397">
        <v>1</v>
      </c>
      <c r="C17" s="395"/>
      <c r="D17" s="473" t="s">
        <v>189</v>
      </c>
      <c r="E17" s="473"/>
      <c r="F17" s="395">
        <v>2</v>
      </c>
      <c r="G17" s="379">
        <f aca="true" t="shared" si="1" ref="G17:M17">G18+G25+G26+G31+G32+G33</f>
        <v>3901369.5</v>
      </c>
      <c r="H17" s="379">
        <f t="shared" si="1"/>
        <v>488496.115</v>
      </c>
      <c r="I17" s="396">
        <f t="shared" si="1"/>
        <v>787388.62</v>
      </c>
      <c r="J17" s="379">
        <f t="shared" si="1"/>
        <v>1275884.7349999999</v>
      </c>
      <c r="K17" s="396">
        <f t="shared" si="1"/>
        <v>1114152.62</v>
      </c>
      <c r="L17" s="379">
        <f t="shared" si="1"/>
        <v>2390037.355</v>
      </c>
      <c r="M17" s="396">
        <f t="shared" si="1"/>
        <v>1511332.1400000001</v>
      </c>
      <c r="N17" s="379">
        <f aca="true" t="shared" si="2" ref="N17:N80">G17</f>
        <v>3901369.5</v>
      </c>
      <c r="O17" s="142"/>
      <c r="P17" s="142"/>
      <c r="R17" s="16"/>
      <c r="S17" s="16"/>
      <c r="T17" s="16"/>
      <c r="U17" s="148"/>
      <c r="V17" s="148"/>
      <c r="W17" s="148"/>
    </row>
    <row r="18" spans="1:23" ht="33.75" customHeight="1">
      <c r="A18" s="506"/>
      <c r="B18" s="506"/>
      <c r="C18" s="390" t="s">
        <v>8</v>
      </c>
      <c r="D18" s="471" t="s">
        <v>9</v>
      </c>
      <c r="E18" s="471"/>
      <c r="F18" s="390">
        <v>3</v>
      </c>
      <c r="G18" s="330">
        <f aca="true" t="shared" si="3" ref="G18:M18">G19+G20+G23+G24</f>
        <v>1031724.6599999999</v>
      </c>
      <c r="H18" s="330">
        <f t="shared" si="3"/>
        <v>253171.115</v>
      </c>
      <c r="I18" s="398">
        <f t="shared" si="3"/>
        <v>252640.62</v>
      </c>
      <c r="J18" s="330">
        <f t="shared" si="3"/>
        <v>505811.735</v>
      </c>
      <c r="K18" s="398">
        <f t="shared" si="3"/>
        <v>263744.62</v>
      </c>
      <c r="L18" s="330">
        <f t="shared" si="3"/>
        <v>769556.355</v>
      </c>
      <c r="M18" s="398">
        <f t="shared" si="3"/>
        <v>262168.3</v>
      </c>
      <c r="N18" s="330">
        <f t="shared" si="2"/>
        <v>1031724.6599999999</v>
      </c>
      <c r="O18" s="142"/>
      <c r="P18" s="142"/>
      <c r="R18" s="16"/>
      <c r="S18" s="16"/>
      <c r="T18" s="16"/>
      <c r="U18" s="16"/>
      <c r="V18" s="16"/>
      <c r="W18" s="148"/>
    </row>
    <row r="19" spans="1:23" ht="18.75" customHeight="1">
      <c r="A19" s="506"/>
      <c r="B19" s="506"/>
      <c r="C19" s="390"/>
      <c r="D19" s="391" t="s">
        <v>10</v>
      </c>
      <c r="E19" s="391" t="s">
        <v>11</v>
      </c>
      <c r="F19" s="390">
        <v>4</v>
      </c>
      <c r="G19" s="330">
        <f>'Anexa 2'!J19</f>
        <v>30.2</v>
      </c>
      <c r="H19" s="380">
        <v>15</v>
      </c>
      <c r="I19" s="398">
        <v>4.5</v>
      </c>
      <c r="J19" s="380">
        <f>H19+I19</f>
        <v>19.5</v>
      </c>
      <c r="K19" s="398">
        <v>8.5</v>
      </c>
      <c r="L19" s="380">
        <f>J19+K19</f>
        <v>28</v>
      </c>
      <c r="M19" s="398">
        <v>2.2</v>
      </c>
      <c r="N19" s="330">
        <f t="shared" si="2"/>
        <v>30.2</v>
      </c>
      <c r="O19" s="142"/>
      <c r="P19" s="142"/>
      <c r="R19" s="15"/>
      <c r="S19" s="15"/>
      <c r="T19" s="15"/>
      <c r="U19" s="15"/>
      <c r="V19" s="15"/>
      <c r="W19" s="150"/>
    </row>
    <row r="20" spans="1:38" ht="24" customHeight="1">
      <c r="A20" s="506"/>
      <c r="B20" s="506"/>
      <c r="C20" s="390"/>
      <c r="D20" s="391" t="s">
        <v>12</v>
      </c>
      <c r="E20" s="391" t="s">
        <v>13</v>
      </c>
      <c r="F20" s="390">
        <v>5</v>
      </c>
      <c r="G20" s="330">
        <f aca="true" t="shared" si="4" ref="G20:M20">G21+G22</f>
        <v>950750</v>
      </c>
      <c r="H20" s="330">
        <f t="shared" si="4"/>
        <v>232920</v>
      </c>
      <c r="I20" s="398">
        <f t="shared" si="4"/>
        <v>232400</v>
      </c>
      <c r="J20" s="330">
        <f t="shared" si="4"/>
        <v>465320</v>
      </c>
      <c r="K20" s="398">
        <f t="shared" si="4"/>
        <v>243500</v>
      </c>
      <c r="L20" s="330">
        <f t="shared" si="4"/>
        <v>708820</v>
      </c>
      <c r="M20" s="398">
        <f t="shared" si="4"/>
        <v>241930</v>
      </c>
      <c r="N20" s="330">
        <f t="shared" si="2"/>
        <v>950750</v>
      </c>
      <c r="O20" s="142"/>
      <c r="P20" s="142"/>
      <c r="R20" s="144"/>
      <c r="S20" s="144"/>
      <c r="T20" s="144"/>
      <c r="U20" s="144"/>
      <c r="V20" s="144"/>
      <c r="W20" s="148"/>
      <c r="AG20" s="285" t="s">
        <v>174</v>
      </c>
      <c r="AH20" s="151" t="s">
        <v>330</v>
      </c>
      <c r="AI20" s="151" t="s">
        <v>53</v>
      </c>
      <c r="AJ20" s="151" t="s">
        <v>166</v>
      </c>
      <c r="AK20" s="151" t="s">
        <v>167</v>
      </c>
      <c r="AL20" s="289">
        <v>2015</v>
      </c>
    </row>
    <row r="21" spans="1:38" s="426" customFormat="1" ht="24.75" customHeight="1">
      <c r="A21" s="506"/>
      <c r="B21" s="506"/>
      <c r="C21" s="421"/>
      <c r="D21" s="422"/>
      <c r="E21" s="423" t="s">
        <v>14</v>
      </c>
      <c r="F21" s="421" t="s">
        <v>182</v>
      </c>
      <c r="G21" s="380">
        <f>'Anexa 2'!J21</f>
        <v>859500</v>
      </c>
      <c r="H21" s="380">
        <v>210000</v>
      </c>
      <c r="I21" s="380">
        <v>210500</v>
      </c>
      <c r="J21" s="380">
        <f>H21+I21</f>
        <v>420500</v>
      </c>
      <c r="K21" s="380">
        <v>220000</v>
      </c>
      <c r="L21" s="380">
        <f>J21+K21</f>
        <v>640500</v>
      </c>
      <c r="M21" s="380">
        <v>219000</v>
      </c>
      <c r="N21" s="380">
        <f t="shared" si="2"/>
        <v>859500</v>
      </c>
      <c r="O21" s="142"/>
      <c r="P21" s="142"/>
      <c r="Q21" s="142"/>
      <c r="R21" s="424"/>
      <c r="S21" s="424"/>
      <c r="T21" s="424"/>
      <c r="U21" s="424"/>
      <c r="V21" s="424"/>
      <c r="W21" s="425"/>
      <c r="AG21" s="427" t="s">
        <v>331</v>
      </c>
      <c r="AH21" s="428">
        <f>124894.845360825+75</f>
        <v>124969.845360825</v>
      </c>
      <c r="AI21" s="428">
        <f>121873.195876289+75</f>
        <v>121948.195876289</v>
      </c>
      <c r="AJ21" s="428">
        <f>122880.412371134+75</f>
        <v>122955.412371134</v>
      </c>
      <c r="AK21" s="428">
        <f>118851.546391753+75</f>
        <v>118926.546391753</v>
      </c>
      <c r="AL21" s="428">
        <f>SUM(AH21:AK21)</f>
        <v>488800.00000000105</v>
      </c>
    </row>
    <row r="22" spans="1:38" ht="26.25" customHeight="1">
      <c r="A22" s="506"/>
      <c r="B22" s="506"/>
      <c r="C22" s="390"/>
      <c r="D22" s="391"/>
      <c r="E22" s="399" t="s">
        <v>15</v>
      </c>
      <c r="F22" s="390" t="s">
        <v>183</v>
      </c>
      <c r="G22" s="330">
        <f>'Anexa 2'!J22</f>
        <v>91250</v>
      </c>
      <c r="H22" s="380">
        <v>22920</v>
      </c>
      <c r="I22" s="398">
        <v>21900</v>
      </c>
      <c r="J22" s="380">
        <f aca="true" t="shared" si="5" ref="J22:L25">H22+I22</f>
        <v>44820</v>
      </c>
      <c r="K22" s="398">
        <v>23500</v>
      </c>
      <c r="L22" s="380">
        <f t="shared" si="5"/>
        <v>68320</v>
      </c>
      <c r="M22" s="398">
        <v>22930</v>
      </c>
      <c r="N22" s="330">
        <f t="shared" si="2"/>
        <v>91250</v>
      </c>
      <c r="O22" s="142"/>
      <c r="P22" s="142"/>
      <c r="R22" s="147"/>
      <c r="S22" s="144"/>
      <c r="T22" s="144"/>
      <c r="U22" s="144"/>
      <c r="V22" s="144"/>
      <c r="W22" s="148"/>
      <c r="AG22" s="285" t="s">
        <v>332</v>
      </c>
      <c r="AH22" s="295">
        <v>31021.77430847371</v>
      </c>
      <c r="AI22" s="295">
        <v>30810.10673438813</v>
      </c>
      <c r="AJ22" s="295">
        <v>33775.06241093288</v>
      </c>
      <c r="AK22" s="295">
        <v>36546.056546205284</v>
      </c>
      <c r="AL22" s="295">
        <f>SUM(AH22:AK22)</f>
        <v>132153</v>
      </c>
    </row>
    <row r="23" spans="1:38" ht="18" customHeight="1">
      <c r="A23" s="506"/>
      <c r="B23" s="506"/>
      <c r="C23" s="390"/>
      <c r="D23" s="391" t="s">
        <v>16</v>
      </c>
      <c r="E23" s="391" t="s">
        <v>17</v>
      </c>
      <c r="F23" s="390">
        <v>6</v>
      </c>
      <c r="G23" s="330">
        <f>'Anexa 2'!J23</f>
        <v>80944.46</v>
      </c>
      <c r="H23" s="380">
        <f>G23/4</f>
        <v>20236.115</v>
      </c>
      <c r="I23" s="398">
        <v>20236.12</v>
      </c>
      <c r="J23" s="380">
        <f t="shared" si="5"/>
        <v>40472.235</v>
      </c>
      <c r="K23" s="398">
        <v>20236.12</v>
      </c>
      <c r="L23" s="380">
        <f t="shared" si="5"/>
        <v>60708.354999999996</v>
      </c>
      <c r="M23" s="398">
        <v>20236.1</v>
      </c>
      <c r="N23" s="330">
        <f t="shared" si="2"/>
        <v>80944.46</v>
      </c>
      <c r="O23" s="142"/>
      <c r="P23" s="142"/>
      <c r="R23" s="16"/>
      <c r="S23" s="16"/>
      <c r="T23" s="16"/>
      <c r="U23" s="16"/>
      <c r="V23" s="16"/>
      <c r="W23" s="148"/>
      <c r="AG23" s="285" t="s">
        <v>538</v>
      </c>
      <c r="AH23" s="295">
        <v>52141.25463481825</v>
      </c>
      <c r="AI23" s="295">
        <v>51681.63842337838</v>
      </c>
      <c r="AJ23" s="295">
        <v>56141.94884328465</v>
      </c>
      <c r="AK23" s="295">
        <v>60072.55809851871</v>
      </c>
      <c r="AL23" s="295">
        <f>SUM(AH23:AK23)</f>
        <v>220037.40000000002</v>
      </c>
    </row>
    <row r="24" spans="1:38" ht="26.25" customHeight="1">
      <c r="A24" s="506"/>
      <c r="B24" s="506"/>
      <c r="C24" s="390"/>
      <c r="D24" s="391" t="s">
        <v>18</v>
      </c>
      <c r="E24" s="391" t="s">
        <v>19</v>
      </c>
      <c r="F24" s="390">
        <v>7</v>
      </c>
      <c r="G24" s="330"/>
      <c r="H24" s="380"/>
      <c r="I24" s="398"/>
      <c r="J24" s="380">
        <f t="shared" si="5"/>
        <v>0</v>
      </c>
      <c r="K24" s="398"/>
      <c r="L24" s="380">
        <f t="shared" si="5"/>
        <v>0</v>
      </c>
      <c r="M24" s="398"/>
      <c r="N24" s="330">
        <f t="shared" si="2"/>
        <v>0</v>
      </c>
      <c r="O24" s="142"/>
      <c r="P24" s="142"/>
      <c r="R24" s="16"/>
      <c r="S24" s="16"/>
      <c r="T24" s="16"/>
      <c r="U24" s="16"/>
      <c r="V24" s="16"/>
      <c r="W24" s="148"/>
      <c r="AG24" s="292" t="s">
        <v>420</v>
      </c>
      <c r="AH24" s="296">
        <f>SUM(AH21:AH23)</f>
        <v>208132.87430411694</v>
      </c>
      <c r="AI24" s="296">
        <f>SUM(AI21:AI23)</f>
        <v>204439.94103405552</v>
      </c>
      <c r="AJ24" s="296">
        <f>SUM(AJ21:AJ23)</f>
        <v>212872.42362535154</v>
      </c>
      <c r="AK24" s="296">
        <f>SUM(AK21:AK23)</f>
        <v>215545.16103647702</v>
      </c>
      <c r="AL24" s="296">
        <f>SUM(AL21:AL23)</f>
        <v>840990.4000000011</v>
      </c>
    </row>
    <row r="25" spans="1:38" ht="35.25" customHeight="1">
      <c r="A25" s="506"/>
      <c r="B25" s="506"/>
      <c r="C25" s="390" t="s">
        <v>20</v>
      </c>
      <c r="D25" s="471" t="s">
        <v>21</v>
      </c>
      <c r="E25" s="471"/>
      <c r="F25" s="390">
        <v>8</v>
      </c>
      <c r="G25" s="330">
        <f>'Anexa 2'!J25</f>
        <v>32</v>
      </c>
      <c r="H25" s="380">
        <f>G25/4</f>
        <v>8</v>
      </c>
      <c r="I25" s="398">
        <v>8</v>
      </c>
      <c r="J25" s="380">
        <f t="shared" si="5"/>
        <v>16</v>
      </c>
      <c r="K25" s="398">
        <v>8</v>
      </c>
      <c r="L25" s="380">
        <f t="shared" si="5"/>
        <v>24</v>
      </c>
      <c r="M25" s="398">
        <v>8</v>
      </c>
      <c r="N25" s="330">
        <f t="shared" si="2"/>
        <v>32</v>
      </c>
      <c r="O25" s="142"/>
      <c r="P25" s="142"/>
      <c r="R25" s="16"/>
      <c r="S25" s="144"/>
      <c r="T25" s="144"/>
      <c r="U25" s="144"/>
      <c r="V25" s="144"/>
      <c r="W25" s="148"/>
      <c r="AG25" s="290"/>
      <c r="AH25" s="364">
        <f>AH24/AL24*N21</f>
        <v>212713.73069703087</v>
      </c>
      <c r="AI25" s="364">
        <f>AI24/AL24*N21</f>
        <v>208939.5185947075</v>
      </c>
      <c r="AJ25" s="364">
        <f>AJ24/AL24*N21</f>
        <v>217557.59412472416</v>
      </c>
      <c r="AK25" s="364">
        <f>AK24/AL24*N21</f>
        <v>220289.15658353743</v>
      </c>
      <c r="AL25" s="364">
        <f>AH25+AI25+AJ25+AK25</f>
        <v>859500</v>
      </c>
    </row>
    <row r="26" spans="1:38" ht="46.5" customHeight="1">
      <c r="A26" s="506"/>
      <c r="B26" s="506"/>
      <c r="C26" s="390" t="s">
        <v>22</v>
      </c>
      <c r="D26" s="471" t="s">
        <v>23</v>
      </c>
      <c r="E26" s="471"/>
      <c r="F26" s="390">
        <v>9</v>
      </c>
      <c r="G26" s="330">
        <f aca="true" t="shared" si="6" ref="G26:M26">G27+G28</f>
        <v>1220000</v>
      </c>
      <c r="H26" s="330">
        <f t="shared" si="6"/>
        <v>202242</v>
      </c>
      <c r="I26" s="398">
        <f t="shared" si="6"/>
        <v>320190</v>
      </c>
      <c r="J26" s="330">
        <f t="shared" si="6"/>
        <v>522432</v>
      </c>
      <c r="K26" s="398">
        <f t="shared" si="6"/>
        <v>317230</v>
      </c>
      <c r="L26" s="330">
        <f t="shared" si="6"/>
        <v>839662</v>
      </c>
      <c r="M26" s="398">
        <f t="shared" si="6"/>
        <v>380338</v>
      </c>
      <c r="N26" s="330">
        <f t="shared" si="2"/>
        <v>1220000</v>
      </c>
      <c r="O26" s="142"/>
      <c r="P26" s="142"/>
      <c r="R26" s="16"/>
      <c r="S26" s="16"/>
      <c r="T26" s="16"/>
      <c r="U26" s="16"/>
      <c r="V26" s="16"/>
      <c r="W26" s="148"/>
      <c r="AG26" s="285" t="s">
        <v>490</v>
      </c>
      <c r="AH26" s="151" t="s">
        <v>330</v>
      </c>
      <c r="AI26" s="151" t="s">
        <v>53</v>
      </c>
      <c r="AJ26" s="151" t="s">
        <v>166</v>
      </c>
      <c r="AK26" s="151" t="s">
        <v>167</v>
      </c>
      <c r="AL26" s="289">
        <v>2015</v>
      </c>
    </row>
    <row r="27" spans="1:38" ht="25.5">
      <c r="A27" s="506"/>
      <c r="B27" s="506"/>
      <c r="C27" s="506"/>
      <c r="D27" s="381" t="s">
        <v>24</v>
      </c>
      <c r="E27" s="400" t="s">
        <v>25</v>
      </c>
      <c r="F27" s="390">
        <v>10</v>
      </c>
      <c r="G27" s="330"/>
      <c r="H27" s="330"/>
      <c r="I27" s="398"/>
      <c r="J27" s="330"/>
      <c r="K27" s="398"/>
      <c r="L27" s="330"/>
      <c r="M27" s="398"/>
      <c r="N27" s="330">
        <f t="shared" si="2"/>
        <v>0</v>
      </c>
      <c r="O27" s="142"/>
      <c r="P27" s="142"/>
      <c r="R27" s="15"/>
      <c r="S27" s="15"/>
      <c r="T27" s="15"/>
      <c r="U27" s="15"/>
      <c r="V27" s="15"/>
      <c r="W27" s="150"/>
      <c r="AG27" s="285" t="s">
        <v>331</v>
      </c>
      <c r="AH27" s="293">
        <v>6200</v>
      </c>
      <c r="AI27" s="293">
        <v>6100</v>
      </c>
      <c r="AJ27" s="293">
        <v>6200</v>
      </c>
      <c r="AK27" s="293">
        <f>AL27-AH27-AI27-AJ27</f>
        <v>6149</v>
      </c>
      <c r="AL27" s="293">
        <v>24649</v>
      </c>
    </row>
    <row r="28" spans="1:38" ht="25.5">
      <c r="A28" s="506"/>
      <c r="B28" s="506"/>
      <c r="C28" s="506"/>
      <c r="D28" s="381" t="s">
        <v>26</v>
      </c>
      <c r="E28" s="400" t="s">
        <v>186</v>
      </c>
      <c r="F28" s="390">
        <v>11</v>
      </c>
      <c r="G28" s="330">
        <f aca="true" t="shared" si="7" ref="G28:M28">G29+G30</f>
        <v>1220000</v>
      </c>
      <c r="H28" s="330">
        <f t="shared" si="7"/>
        <v>202242</v>
      </c>
      <c r="I28" s="398">
        <f t="shared" si="7"/>
        <v>320190</v>
      </c>
      <c r="J28" s="330">
        <f t="shared" si="7"/>
        <v>522432</v>
      </c>
      <c r="K28" s="398">
        <f t="shared" si="7"/>
        <v>317230</v>
      </c>
      <c r="L28" s="330">
        <f t="shared" si="7"/>
        <v>839662</v>
      </c>
      <c r="M28" s="398">
        <f t="shared" si="7"/>
        <v>380338</v>
      </c>
      <c r="N28" s="330">
        <f t="shared" si="2"/>
        <v>1220000</v>
      </c>
      <c r="O28" s="142"/>
      <c r="P28" s="142"/>
      <c r="R28" s="144"/>
      <c r="S28" s="144"/>
      <c r="T28" s="144"/>
      <c r="U28" s="144"/>
      <c r="V28" s="144"/>
      <c r="W28" s="144"/>
      <c r="AG28" s="285" t="s">
        <v>332</v>
      </c>
      <c r="AH28" s="293">
        <v>11950</v>
      </c>
      <c r="AI28" s="293">
        <v>11700</v>
      </c>
      <c r="AJ28" s="293">
        <v>11950</v>
      </c>
      <c r="AK28" s="293">
        <f>AL28-AH28-AI28-AJ28</f>
        <v>11916</v>
      </c>
      <c r="AL28" s="293">
        <v>47516</v>
      </c>
    </row>
    <row r="29" spans="1:38" ht="38.25">
      <c r="A29" s="506"/>
      <c r="B29" s="506"/>
      <c r="C29" s="390"/>
      <c r="D29" s="381" t="s">
        <v>27</v>
      </c>
      <c r="E29" s="399" t="s">
        <v>28</v>
      </c>
      <c r="F29" s="390" t="s">
        <v>184</v>
      </c>
      <c r="G29" s="330">
        <f>'Anexa 2'!J29</f>
        <v>150000</v>
      </c>
      <c r="H29" s="380">
        <v>3600</v>
      </c>
      <c r="I29" s="398">
        <v>14150</v>
      </c>
      <c r="J29" s="380">
        <f aca="true" t="shared" si="8" ref="J29:L32">H29+I29</f>
        <v>17750</v>
      </c>
      <c r="K29" s="398">
        <v>58150</v>
      </c>
      <c r="L29" s="380">
        <f t="shared" si="8"/>
        <v>75900</v>
      </c>
      <c r="M29" s="398">
        <v>74100</v>
      </c>
      <c r="N29" s="330">
        <f t="shared" si="2"/>
        <v>150000</v>
      </c>
      <c r="O29" s="142"/>
      <c r="P29" s="142"/>
      <c r="AG29" s="285" t="s">
        <v>539</v>
      </c>
      <c r="AH29" s="293">
        <v>5125</v>
      </c>
      <c r="AI29" s="293">
        <v>5125</v>
      </c>
      <c r="AJ29" s="293">
        <v>5125</v>
      </c>
      <c r="AK29" s="293">
        <v>5125</v>
      </c>
      <c r="AL29" s="293">
        <v>20500</v>
      </c>
    </row>
    <row r="30" spans="1:38" ht="27.75" customHeight="1">
      <c r="A30" s="506"/>
      <c r="B30" s="506"/>
      <c r="C30" s="390"/>
      <c r="D30" s="381" t="s">
        <v>29</v>
      </c>
      <c r="E30" s="399" t="s">
        <v>30</v>
      </c>
      <c r="F30" s="390" t="s">
        <v>185</v>
      </c>
      <c r="G30" s="330">
        <f>'Anexa 2'!J30</f>
        <v>1070000</v>
      </c>
      <c r="H30" s="380">
        <v>198642</v>
      </c>
      <c r="I30" s="398">
        <v>306040</v>
      </c>
      <c r="J30" s="380">
        <f t="shared" si="8"/>
        <v>504682</v>
      </c>
      <c r="K30" s="398">
        <v>259080</v>
      </c>
      <c r="L30" s="380">
        <f t="shared" si="8"/>
        <v>763762</v>
      </c>
      <c r="M30" s="398">
        <v>306238</v>
      </c>
      <c r="N30" s="330">
        <f t="shared" si="2"/>
        <v>1070000</v>
      </c>
      <c r="O30" s="142"/>
      <c r="P30" s="142"/>
      <c r="AG30" s="292" t="s">
        <v>420</v>
      </c>
      <c r="AH30" s="294">
        <f>SUM(AH27:AH29)</f>
        <v>23275</v>
      </c>
      <c r="AI30" s="294">
        <f>SUM(AI27:AI29)</f>
        <v>22925</v>
      </c>
      <c r="AJ30" s="294">
        <f>SUM(AJ27:AJ29)</f>
        <v>23275</v>
      </c>
      <c r="AK30" s="294">
        <f>SUM(AK27:AK29)</f>
        <v>23190</v>
      </c>
      <c r="AL30" s="294">
        <f>SUM(AL27:AL29)</f>
        <v>92665</v>
      </c>
    </row>
    <row r="31" spans="1:38" ht="29.25" customHeight="1">
      <c r="A31" s="506"/>
      <c r="B31" s="506"/>
      <c r="C31" s="390" t="s">
        <v>31</v>
      </c>
      <c r="D31" s="471" t="s">
        <v>32</v>
      </c>
      <c r="E31" s="471"/>
      <c r="F31" s="390">
        <v>12</v>
      </c>
      <c r="G31" s="330">
        <f>'Anexa 2'!J31</f>
        <v>0</v>
      </c>
      <c r="H31" s="380"/>
      <c r="I31" s="398"/>
      <c r="J31" s="380">
        <f t="shared" si="8"/>
        <v>0</v>
      </c>
      <c r="K31" s="398"/>
      <c r="L31" s="380">
        <f t="shared" si="8"/>
        <v>0</v>
      </c>
      <c r="M31" s="398"/>
      <c r="N31" s="330">
        <f t="shared" si="2"/>
        <v>0</v>
      </c>
      <c r="O31" s="142"/>
      <c r="P31" s="142"/>
      <c r="AG31" s="290"/>
      <c r="AH31" s="149"/>
      <c r="AI31" s="149"/>
      <c r="AJ31" s="149"/>
      <c r="AK31" s="149"/>
      <c r="AL31" s="149"/>
    </row>
    <row r="32" spans="1:38" ht="38.25" customHeight="1">
      <c r="A32" s="506"/>
      <c r="B32" s="506"/>
      <c r="C32" s="390" t="s">
        <v>33</v>
      </c>
      <c r="D32" s="471" t="s">
        <v>34</v>
      </c>
      <c r="E32" s="471"/>
      <c r="F32" s="390">
        <v>13</v>
      </c>
      <c r="G32" s="330">
        <f>'Anexa 2'!J32</f>
        <v>255</v>
      </c>
      <c r="H32" s="380">
        <v>75</v>
      </c>
      <c r="I32" s="398">
        <v>50</v>
      </c>
      <c r="J32" s="380">
        <f t="shared" si="8"/>
        <v>125</v>
      </c>
      <c r="K32" s="398">
        <v>70</v>
      </c>
      <c r="L32" s="380">
        <f t="shared" si="8"/>
        <v>195</v>
      </c>
      <c r="M32" s="398">
        <v>60</v>
      </c>
      <c r="N32" s="330">
        <f t="shared" si="2"/>
        <v>255</v>
      </c>
      <c r="O32" s="142"/>
      <c r="P32" s="142"/>
      <c r="AG32" s="144"/>
      <c r="AH32" s="363">
        <f>AH30/AL30*N22</f>
        <v>22919.589381103975</v>
      </c>
      <c r="AI32" s="363">
        <f>AI30/AL30*N22</f>
        <v>22574.933901688877</v>
      </c>
      <c r="AJ32" s="363">
        <f>AJ30/AL30*N22</f>
        <v>22919.589381103975</v>
      </c>
      <c r="AK32" s="363">
        <f>AK30/AL30*N22</f>
        <v>22835.88733610317</v>
      </c>
      <c r="AL32" s="364">
        <f>AH32+AI32+AJ32+AK32</f>
        <v>91250</v>
      </c>
    </row>
    <row r="33" spans="1:38" ht="40.5" customHeight="1">
      <c r="A33" s="506"/>
      <c r="B33" s="390"/>
      <c r="C33" s="390" t="s">
        <v>35</v>
      </c>
      <c r="D33" s="471" t="s">
        <v>188</v>
      </c>
      <c r="E33" s="471"/>
      <c r="F33" s="390">
        <v>14</v>
      </c>
      <c r="G33" s="330">
        <f aca="true" t="shared" si="9" ref="G33:M33">G34+G35+G38+G39+G40</f>
        <v>1649357.8399999999</v>
      </c>
      <c r="H33" s="330">
        <f t="shared" si="9"/>
        <v>33000</v>
      </c>
      <c r="I33" s="398">
        <f t="shared" si="9"/>
        <v>214500</v>
      </c>
      <c r="J33" s="330">
        <f t="shared" si="9"/>
        <v>247500</v>
      </c>
      <c r="K33" s="398">
        <f t="shared" si="9"/>
        <v>533100</v>
      </c>
      <c r="L33" s="330">
        <f t="shared" si="9"/>
        <v>780600</v>
      </c>
      <c r="M33" s="398">
        <f t="shared" si="9"/>
        <v>868757.84</v>
      </c>
      <c r="N33" s="330">
        <f t="shared" si="2"/>
        <v>1649357.8399999999</v>
      </c>
      <c r="O33" s="142"/>
      <c r="P33" s="142"/>
      <c r="AG33" s="144"/>
      <c r="AH33" s="149"/>
      <c r="AI33" s="149"/>
      <c r="AJ33" s="149"/>
      <c r="AK33" s="149"/>
      <c r="AL33" s="149"/>
    </row>
    <row r="34" spans="1:38" ht="20.25" customHeight="1">
      <c r="A34" s="506"/>
      <c r="B34" s="390"/>
      <c r="C34" s="390"/>
      <c r="D34" s="391" t="s">
        <v>36</v>
      </c>
      <c r="E34" s="391" t="s">
        <v>37</v>
      </c>
      <c r="F34" s="390">
        <v>15</v>
      </c>
      <c r="G34" s="330">
        <f>'Anexa 2'!J34</f>
        <v>24340.54</v>
      </c>
      <c r="H34" s="380">
        <v>10300</v>
      </c>
      <c r="I34" s="398">
        <v>2200</v>
      </c>
      <c r="J34" s="380">
        <f>H34+I34</f>
        <v>12500</v>
      </c>
      <c r="K34" s="398">
        <v>9500</v>
      </c>
      <c r="L34" s="380">
        <f>J34+K34</f>
        <v>22000</v>
      </c>
      <c r="M34" s="398">
        <v>2340.54</v>
      </c>
      <c r="N34" s="330">
        <f t="shared" si="2"/>
        <v>24340.54</v>
      </c>
      <c r="O34" s="142"/>
      <c r="P34" s="142"/>
      <c r="AG34" s="290"/>
      <c r="AH34" s="149"/>
      <c r="AI34" s="149"/>
      <c r="AJ34" s="149"/>
      <c r="AK34" s="149"/>
      <c r="AL34" s="291"/>
    </row>
    <row r="35" spans="1:38" ht="27" customHeight="1">
      <c r="A35" s="506"/>
      <c r="B35" s="390"/>
      <c r="C35" s="390"/>
      <c r="D35" s="391" t="s">
        <v>38</v>
      </c>
      <c r="E35" s="391" t="s">
        <v>39</v>
      </c>
      <c r="F35" s="390">
        <v>16</v>
      </c>
      <c r="G35" s="330">
        <f>G36</f>
        <v>23439.97</v>
      </c>
      <c r="H35" s="330">
        <f aca="true" t="shared" si="10" ref="H35:M35">H36</f>
        <v>9500</v>
      </c>
      <c r="I35" s="398">
        <f t="shared" si="10"/>
        <v>2400</v>
      </c>
      <c r="J35" s="380">
        <f aca="true" t="shared" si="11" ref="J35:L40">H35+I35</f>
        <v>11900</v>
      </c>
      <c r="K35" s="398">
        <f t="shared" si="10"/>
        <v>7500</v>
      </c>
      <c r="L35" s="380">
        <f t="shared" si="11"/>
        <v>19400</v>
      </c>
      <c r="M35" s="398">
        <f t="shared" si="10"/>
        <v>4039.97</v>
      </c>
      <c r="N35" s="330">
        <f t="shared" si="2"/>
        <v>23439.97</v>
      </c>
      <c r="O35" s="142"/>
      <c r="P35" s="142"/>
      <c r="AG35" s="144"/>
      <c r="AH35" s="148"/>
      <c r="AI35" s="148"/>
      <c r="AJ35" s="148"/>
      <c r="AK35" s="148"/>
      <c r="AL35" s="291"/>
    </row>
    <row r="36" spans="1:38" ht="15.75" customHeight="1">
      <c r="A36" s="506"/>
      <c r="B36" s="390"/>
      <c r="C36" s="390"/>
      <c r="D36" s="391"/>
      <c r="E36" s="391" t="s">
        <v>40</v>
      </c>
      <c r="F36" s="390">
        <v>17</v>
      </c>
      <c r="G36" s="330">
        <f>'Anexa 2'!J36</f>
        <v>23439.97</v>
      </c>
      <c r="H36" s="380">
        <v>9500</v>
      </c>
      <c r="I36" s="398">
        <v>2400</v>
      </c>
      <c r="J36" s="380">
        <f t="shared" si="11"/>
        <v>11900</v>
      </c>
      <c r="K36" s="398">
        <v>7500</v>
      </c>
      <c r="L36" s="380">
        <f t="shared" si="11"/>
        <v>19400</v>
      </c>
      <c r="M36" s="398">
        <v>4039.97</v>
      </c>
      <c r="N36" s="330">
        <f t="shared" si="2"/>
        <v>23439.97</v>
      </c>
      <c r="O36" s="142"/>
      <c r="P36" s="142"/>
      <c r="AG36" s="290"/>
      <c r="AH36" s="148"/>
      <c r="AI36" s="148"/>
      <c r="AJ36" s="148"/>
      <c r="AK36" s="148"/>
      <c r="AL36" s="291"/>
    </row>
    <row r="37" spans="1:38" ht="18.75" customHeight="1">
      <c r="A37" s="506"/>
      <c r="B37" s="390"/>
      <c r="C37" s="390"/>
      <c r="D37" s="391"/>
      <c r="E37" s="391" t="s">
        <v>41</v>
      </c>
      <c r="F37" s="390">
        <v>18</v>
      </c>
      <c r="G37" s="330">
        <f>'Anexa 2'!J37</f>
        <v>0</v>
      </c>
      <c r="H37" s="380"/>
      <c r="I37" s="398"/>
      <c r="J37" s="380">
        <f t="shared" si="11"/>
        <v>0</v>
      </c>
      <c r="K37" s="398"/>
      <c r="L37" s="380">
        <f t="shared" si="11"/>
        <v>0</v>
      </c>
      <c r="M37" s="398"/>
      <c r="N37" s="330">
        <f t="shared" si="2"/>
        <v>0</v>
      </c>
      <c r="O37" s="142"/>
      <c r="P37" s="142"/>
      <c r="AG37" s="144"/>
      <c r="AH37" s="144"/>
      <c r="AI37" s="144"/>
      <c r="AJ37" s="144"/>
      <c r="AK37" s="144"/>
      <c r="AL37" s="144"/>
    </row>
    <row r="38" spans="1:17" s="429" customFormat="1" ht="19.5" customHeight="1">
      <c r="A38" s="506"/>
      <c r="B38" s="421"/>
      <c r="C38" s="421"/>
      <c r="D38" s="422" t="s">
        <v>42</v>
      </c>
      <c r="E38" s="422" t="s">
        <v>43</v>
      </c>
      <c r="F38" s="421">
        <v>19</v>
      </c>
      <c r="G38" s="380">
        <f>'Anexa 2'!J38</f>
        <v>1555207.69</v>
      </c>
      <c r="H38" s="380">
        <v>0</v>
      </c>
      <c r="I38" s="380">
        <v>200000</v>
      </c>
      <c r="J38" s="380">
        <f t="shared" si="11"/>
        <v>200000</v>
      </c>
      <c r="K38" s="380">
        <v>500000</v>
      </c>
      <c r="L38" s="380">
        <f t="shared" si="11"/>
        <v>700000</v>
      </c>
      <c r="M38" s="380">
        <v>855207.69</v>
      </c>
      <c r="N38" s="380">
        <f t="shared" si="2"/>
        <v>1555207.69</v>
      </c>
      <c r="O38" s="142"/>
      <c r="P38" s="142"/>
      <c r="Q38" s="142"/>
    </row>
    <row r="39" spans="1:17" s="429" customFormat="1" ht="14.25" customHeight="1">
      <c r="A39" s="506"/>
      <c r="B39" s="421"/>
      <c r="C39" s="421"/>
      <c r="D39" s="422" t="s">
        <v>44</v>
      </c>
      <c r="E39" s="422" t="s">
        <v>45</v>
      </c>
      <c r="F39" s="421">
        <v>20</v>
      </c>
      <c r="G39" s="380">
        <f>'Anexa 2'!J39</f>
        <v>0</v>
      </c>
      <c r="H39" s="380"/>
      <c r="I39" s="380"/>
      <c r="J39" s="380">
        <f t="shared" si="11"/>
        <v>0</v>
      </c>
      <c r="K39" s="380"/>
      <c r="L39" s="380">
        <f t="shared" si="11"/>
        <v>0</v>
      </c>
      <c r="M39" s="380"/>
      <c r="N39" s="380">
        <f t="shared" si="2"/>
        <v>0</v>
      </c>
      <c r="O39" s="142"/>
      <c r="P39" s="142"/>
      <c r="Q39" s="142"/>
    </row>
    <row r="40" spans="1:17" s="429" customFormat="1" ht="41.25" customHeight="1">
      <c r="A40" s="506"/>
      <c r="B40" s="421"/>
      <c r="C40" s="421"/>
      <c r="D40" s="422" t="s">
        <v>46</v>
      </c>
      <c r="E40" s="422" t="s">
        <v>19</v>
      </c>
      <c r="F40" s="421">
        <v>21</v>
      </c>
      <c r="G40" s="380">
        <f>'Anexa 2'!J40</f>
        <v>46369.64</v>
      </c>
      <c r="H40" s="380">
        <v>13200</v>
      </c>
      <c r="I40" s="380">
        <v>9900</v>
      </c>
      <c r="J40" s="380">
        <f t="shared" si="11"/>
        <v>23100</v>
      </c>
      <c r="K40" s="380">
        <v>16100</v>
      </c>
      <c r="L40" s="380">
        <f t="shared" si="11"/>
        <v>39200</v>
      </c>
      <c r="M40" s="380">
        <v>7169.64</v>
      </c>
      <c r="N40" s="380">
        <f t="shared" si="2"/>
        <v>46369.64</v>
      </c>
      <c r="O40" s="142"/>
      <c r="P40" s="142"/>
      <c r="Q40" s="142"/>
    </row>
    <row r="41" spans="1:16" ht="30.75" customHeight="1">
      <c r="A41" s="506"/>
      <c r="B41" s="395">
        <v>2</v>
      </c>
      <c r="C41" s="395"/>
      <c r="D41" s="473" t="s">
        <v>187</v>
      </c>
      <c r="E41" s="473"/>
      <c r="F41" s="395">
        <v>22</v>
      </c>
      <c r="G41" s="379">
        <f aca="true" t="shared" si="12" ref="G41:M41">G44+G45+G46</f>
        <v>310761.58999999997</v>
      </c>
      <c r="H41" s="379">
        <f t="shared" si="12"/>
        <v>95550</v>
      </c>
      <c r="I41" s="396">
        <f t="shared" si="12"/>
        <v>65078</v>
      </c>
      <c r="J41" s="379">
        <f t="shared" si="12"/>
        <v>160628</v>
      </c>
      <c r="K41" s="396">
        <f t="shared" si="12"/>
        <v>89694.23</v>
      </c>
      <c r="L41" s="379">
        <f t="shared" si="12"/>
        <v>250322.23</v>
      </c>
      <c r="M41" s="396">
        <f t="shared" si="12"/>
        <v>60439.36</v>
      </c>
      <c r="N41" s="379">
        <f t="shared" si="2"/>
        <v>310761.58999999997</v>
      </c>
      <c r="O41" s="142"/>
      <c r="P41" s="142"/>
    </row>
    <row r="42" spans="1:16" ht="19.5" customHeight="1">
      <c r="A42" s="506"/>
      <c r="B42" s="506"/>
      <c r="C42" s="390" t="s">
        <v>8</v>
      </c>
      <c r="D42" s="471" t="s">
        <v>47</v>
      </c>
      <c r="E42" s="471"/>
      <c r="F42" s="390">
        <v>23</v>
      </c>
      <c r="G42" s="330"/>
      <c r="H42" s="380"/>
      <c r="I42" s="398"/>
      <c r="J42" s="380">
        <f aca="true" t="shared" si="13" ref="J42:L47">H42+I42</f>
        <v>0</v>
      </c>
      <c r="K42" s="398"/>
      <c r="L42" s="380">
        <f t="shared" si="13"/>
        <v>0</v>
      </c>
      <c r="M42" s="398"/>
      <c r="N42" s="330">
        <f t="shared" si="2"/>
        <v>0</v>
      </c>
      <c r="O42" s="142"/>
      <c r="P42" s="142"/>
    </row>
    <row r="43" spans="1:16" ht="17.25" customHeight="1">
      <c r="A43" s="506"/>
      <c r="B43" s="506"/>
      <c r="C43" s="390" t="s">
        <v>20</v>
      </c>
      <c r="D43" s="471" t="s">
        <v>48</v>
      </c>
      <c r="E43" s="471"/>
      <c r="F43" s="390">
        <v>24</v>
      </c>
      <c r="G43" s="330"/>
      <c r="H43" s="380"/>
      <c r="I43" s="398"/>
      <c r="J43" s="380">
        <f t="shared" si="13"/>
        <v>0</v>
      </c>
      <c r="K43" s="398"/>
      <c r="L43" s="380">
        <f t="shared" si="13"/>
        <v>0</v>
      </c>
      <c r="M43" s="398"/>
      <c r="N43" s="330">
        <f t="shared" si="2"/>
        <v>0</v>
      </c>
      <c r="O43" s="142"/>
      <c r="P43" s="142"/>
    </row>
    <row r="44" spans="1:16" ht="18" customHeight="1">
      <c r="A44" s="506"/>
      <c r="B44" s="506"/>
      <c r="C44" s="390" t="s">
        <v>22</v>
      </c>
      <c r="D44" s="471" t="s">
        <v>49</v>
      </c>
      <c r="E44" s="471"/>
      <c r="F44" s="390">
        <v>25</v>
      </c>
      <c r="G44" s="330">
        <f>'Anexa 2'!J44</f>
        <v>310000</v>
      </c>
      <c r="H44" s="380">
        <v>95300</v>
      </c>
      <c r="I44" s="398">
        <v>64900</v>
      </c>
      <c r="J44" s="380">
        <f t="shared" si="13"/>
        <v>160200</v>
      </c>
      <c r="K44" s="398">
        <v>89500</v>
      </c>
      <c r="L44" s="380">
        <f t="shared" si="13"/>
        <v>249700</v>
      </c>
      <c r="M44" s="398">
        <v>60300</v>
      </c>
      <c r="N44" s="330">
        <f t="shared" si="2"/>
        <v>310000</v>
      </c>
      <c r="O44" s="142"/>
      <c r="P44" s="142"/>
    </row>
    <row r="45" spans="1:16" ht="21" customHeight="1">
      <c r="A45" s="506"/>
      <c r="B45" s="506"/>
      <c r="C45" s="390" t="s">
        <v>31</v>
      </c>
      <c r="D45" s="471" t="s">
        <v>50</v>
      </c>
      <c r="E45" s="471"/>
      <c r="F45" s="390">
        <v>26</v>
      </c>
      <c r="G45" s="330">
        <f>'Anexa 2'!J45</f>
        <v>337.29</v>
      </c>
      <c r="H45" s="380">
        <v>100</v>
      </c>
      <c r="I45" s="398">
        <v>83</v>
      </c>
      <c r="J45" s="380">
        <f t="shared" si="13"/>
        <v>183</v>
      </c>
      <c r="K45" s="398">
        <v>85</v>
      </c>
      <c r="L45" s="380">
        <f t="shared" si="13"/>
        <v>268</v>
      </c>
      <c r="M45" s="398">
        <v>69.29</v>
      </c>
      <c r="N45" s="330">
        <f t="shared" si="2"/>
        <v>337.29</v>
      </c>
      <c r="O45" s="142"/>
      <c r="P45" s="142"/>
    </row>
    <row r="46" spans="1:16" ht="18.75" customHeight="1">
      <c r="A46" s="506"/>
      <c r="B46" s="506"/>
      <c r="C46" s="390" t="s">
        <v>33</v>
      </c>
      <c r="D46" s="471" t="s">
        <v>51</v>
      </c>
      <c r="E46" s="471"/>
      <c r="F46" s="390">
        <v>27</v>
      </c>
      <c r="G46" s="330">
        <f>'Anexa 2'!J46</f>
        <v>424.3</v>
      </c>
      <c r="H46" s="380">
        <v>150</v>
      </c>
      <c r="I46" s="398">
        <v>95</v>
      </c>
      <c r="J46" s="380">
        <f t="shared" si="13"/>
        <v>245</v>
      </c>
      <c r="K46" s="398">
        <v>109.23</v>
      </c>
      <c r="L46" s="380">
        <f t="shared" si="13"/>
        <v>354.23</v>
      </c>
      <c r="M46" s="398">
        <v>70.07</v>
      </c>
      <c r="N46" s="330">
        <f t="shared" si="2"/>
        <v>424.3</v>
      </c>
      <c r="O46" s="142"/>
      <c r="P46" s="142"/>
    </row>
    <row r="47" spans="1:23" ht="21" customHeight="1">
      <c r="A47" s="506"/>
      <c r="B47" s="395">
        <v>3</v>
      </c>
      <c r="C47" s="395"/>
      <c r="D47" s="473" t="s">
        <v>52</v>
      </c>
      <c r="E47" s="473"/>
      <c r="F47" s="395">
        <v>28</v>
      </c>
      <c r="G47" s="379">
        <f>'Anexa 2'!J47</f>
        <v>0</v>
      </c>
      <c r="H47" s="383">
        <v>0</v>
      </c>
      <c r="I47" s="396">
        <v>0</v>
      </c>
      <c r="J47" s="383">
        <f t="shared" si="13"/>
        <v>0</v>
      </c>
      <c r="K47" s="396">
        <v>0</v>
      </c>
      <c r="L47" s="383">
        <f t="shared" si="13"/>
        <v>0</v>
      </c>
      <c r="M47" s="396">
        <v>0</v>
      </c>
      <c r="N47" s="379">
        <f t="shared" si="2"/>
        <v>0</v>
      </c>
      <c r="O47" s="142"/>
      <c r="P47" s="142"/>
      <c r="R47" s="152"/>
      <c r="S47" s="152" t="s">
        <v>333</v>
      </c>
      <c r="T47" s="152" t="s">
        <v>334</v>
      </c>
      <c r="U47" s="152" t="s">
        <v>335</v>
      </c>
      <c r="V47" s="152" t="s">
        <v>336</v>
      </c>
      <c r="W47" s="152"/>
    </row>
    <row r="48" spans="1:23" ht="27" customHeight="1">
      <c r="A48" s="395" t="s">
        <v>53</v>
      </c>
      <c r="B48" s="473" t="s">
        <v>192</v>
      </c>
      <c r="C48" s="473"/>
      <c r="D48" s="473"/>
      <c r="E48" s="473"/>
      <c r="F48" s="395">
        <v>29</v>
      </c>
      <c r="G48" s="379">
        <f aca="true" t="shared" si="14" ref="G48:M48">G49+G164+G172</f>
        <v>4212131.09</v>
      </c>
      <c r="H48" s="379">
        <f t="shared" si="14"/>
        <v>551741.2187932833</v>
      </c>
      <c r="I48" s="396">
        <f t="shared" si="14"/>
        <v>853737.7179680947</v>
      </c>
      <c r="J48" s="379">
        <f t="shared" si="14"/>
        <v>1405478.936761378</v>
      </c>
      <c r="K48" s="396">
        <f t="shared" si="14"/>
        <v>1192090.3037810791</v>
      </c>
      <c r="L48" s="379">
        <f t="shared" si="14"/>
        <v>2597569.240542457</v>
      </c>
      <c r="M48" s="396">
        <f t="shared" si="14"/>
        <v>1609331.8604704528</v>
      </c>
      <c r="N48" s="379">
        <f t="shared" si="2"/>
        <v>4212131.09</v>
      </c>
      <c r="O48" s="142"/>
      <c r="P48" s="142"/>
      <c r="R48" s="152"/>
      <c r="S48" s="154">
        <v>52646801.66666667</v>
      </c>
      <c r="T48" s="154">
        <v>52646801.66666667</v>
      </c>
      <c r="U48" s="154">
        <v>52646801.66666667</v>
      </c>
      <c r="V48" s="154">
        <v>49198321.208151385</v>
      </c>
      <c r="W48" s="154">
        <v>207138726.2081514</v>
      </c>
    </row>
    <row r="49" spans="1:23" ht="27" customHeight="1">
      <c r="A49" s="506"/>
      <c r="B49" s="395">
        <v>1</v>
      </c>
      <c r="C49" s="473" t="s">
        <v>193</v>
      </c>
      <c r="D49" s="473"/>
      <c r="E49" s="473"/>
      <c r="F49" s="395">
        <v>30</v>
      </c>
      <c r="G49" s="379">
        <f aca="true" t="shared" si="15" ref="G49:M49">G52+G104+G113+G147</f>
        <v>3904612.9699999997</v>
      </c>
      <c r="H49" s="379">
        <f t="shared" si="15"/>
        <v>474861.68879328336</v>
      </c>
      <c r="I49" s="396">
        <f t="shared" si="15"/>
        <v>776858.7179680947</v>
      </c>
      <c r="J49" s="379">
        <f t="shared" si="15"/>
        <v>1251720.406761378</v>
      </c>
      <c r="K49" s="396">
        <f t="shared" si="15"/>
        <v>1115149.3037810791</v>
      </c>
      <c r="L49" s="379">
        <f t="shared" si="15"/>
        <v>2366869.710542457</v>
      </c>
      <c r="M49" s="396">
        <f t="shared" si="15"/>
        <v>1532513.2704704527</v>
      </c>
      <c r="N49" s="379">
        <f t="shared" si="2"/>
        <v>3904612.9699999997</v>
      </c>
      <c r="O49" s="142"/>
      <c r="P49" s="142"/>
      <c r="R49" s="152"/>
      <c r="S49" s="154">
        <v>52646801.66666667</v>
      </c>
      <c r="T49" s="154">
        <v>52646801.66666667</v>
      </c>
      <c r="U49" s="154">
        <v>52646801.66666667</v>
      </c>
      <c r="V49" s="154">
        <v>49198321.208151385</v>
      </c>
      <c r="W49" s="154">
        <v>207138726.2081514</v>
      </c>
    </row>
    <row r="50" spans="1:23" ht="27" customHeight="1">
      <c r="A50" s="506"/>
      <c r="B50" s="401"/>
      <c r="C50" s="402"/>
      <c r="D50" s="402"/>
      <c r="E50" s="402" t="s">
        <v>54</v>
      </c>
      <c r="F50" s="401" t="s">
        <v>190</v>
      </c>
      <c r="G50" s="330">
        <f aca="true" t="shared" si="16" ref="G50:M51">G54+G65+G111</f>
        <v>150000</v>
      </c>
      <c r="H50" s="330">
        <f t="shared" si="16"/>
        <v>0</v>
      </c>
      <c r="I50" s="398">
        <f t="shared" si="16"/>
        <v>14150</v>
      </c>
      <c r="J50" s="330">
        <f t="shared" si="16"/>
        <v>14150</v>
      </c>
      <c r="K50" s="398">
        <f t="shared" si="16"/>
        <v>58150</v>
      </c>
      <c r="L50" s="330">
        <f t="shared" si="16"/>
        <v>72300</v>
      </c>
      <c r="M50" s="398">
        <f t="shared" si="16"/>
        <v>74100</v>
      </c>
      <c r="N50" s="330">
        <f t="shared" si="2"/>
        <v>150000</v>
      </c>
      <c r="O50" s="142"/>
      <c r="P50" s="142"/>
      <c r="R50" s="152"/>
      <c r="S50" s="154">
        <v>52646801.66666667</v>
      </c>
      <c r="T50" s="154">
        <v>52646801.66666667</v>
      </c>
      <c r="U50" s="154">
        <v>49198321.208151385</v>
      </c>
      <c r="V50" s="154">
        <v>49198321.208151385</v>
      </c>
      <c r="W50" s="154">
        <v>203690245.7496361</v>
      </c>
    </row>
    <row r="51" spans="1:23" ht="27" customHeight="1">
      <c r="A51" s="506"/>
      <c r="B51" s="401"/>
      <c r="C51" s="402"/>
      <c r="D51" s="402"/>
      <c r="E51" s="402" t="s">
        <v>55</v>
      </c>
      <c r="F51" s="401" t="s">
        <v>191</v>
      </c>
      <c r="G51" s="330">
        <f t="shared" si="16"/>
        <v>95000</v>
      </c>
      <c r="H51" s="330">
        <f t="shared" si="16"/>
        <v>0</v>
      </c>
      <c r="I51" s="398">
        <f t="shared" si="16"/>
        <v>10000</v>
      </c>
      <c r="J51" s="330">
        <f t="shared" si="16"/>
        <v>10000</v>
      </c>
      <c r="K51" s="398">
        <f t="shared" si="16"/>
        <v>40000</v>
      </c>
      <c r="L51" s="330">
        <f t="shared" si="16"/>
        <v>50000</v>
      </c>
      <c r="M51" s="398">
        <f t="shared" si="16"/>
        <v>45000</v>
      </c>
      <c r="N51" s="330">
        <f t="shared" si="2"/>
        <v>95000</v>
      </c>
      <c r="O51" s="142"/>
      <c r="P51" s="142"/>
      <c r="R51" s="152" t="s">
        <v>337</v>
      </c>
      <c r="S51" s="154">
        <v>780980.6277551075</v>
      </c>
      <c r="T51" s="154">
        <v>780980.6277551075</v>
      </c>
      <c r="U51" s="154">
        <v>780980.6277551075</v>
      </c>
      <c r="V51" s="154">
        <v>780980.6277551075</v>
      </c>
      <c r="W51" s="154">
        <v>3123922.51102043</v>
      </c>
    </row>
    <row r="52" spans="1:23" ht="27" customHeight="1">
      <c r="A52" s="506"/>
      <c r="B52" s="506"/>
      <c r="C52" s="471" t="s">
        <v>199</v>
      </c>
      <c r="D52" s="471"/>
      <c r="E52" s="471"/>
      <c r="F52" s="390">
        <v>31</v>
      </c>
      <c r="G52" s="330">
        <f aca="true" t="shared" si="17" ref="G52:M52">G53+G63+G71</f>
        <v>1042198.56</v>
      </c>
      <c r="H52" s="330">
        <f t="shared" si="17"/>
        <v>161185.8825</v>
      </c>
      <c r="I52" s="398">
        <f t="shared" si="17"/>
        <v>225331.98763877194</v>
      </c>
      <c r="J52" s="330">
        <f t="shared" si="17"/>
        <v>386517.87013877195</v>
      </c>
      <c r="K52" s="398">
        <f t="shared" si="17"/>
        <v>282410.3416317544</v>
      </c>
      <c r="L52" s="330">
        <f t="shared" si="17"/>
        <v>668928.2117705264</v>
      </c>
      <c r="M52" s="398">
        <f t="shared" si="17"/>
        <v>368070.35</v>
      </c>
      <c r="N52" s="330">
        <f t="shared" si="2"/>
        <v>1042198.56</v>
      </c>
      <c r="O52" s="142"/>
      <c r="P52" s="142"/>
      <c r="R52" s="152"/>
      <c r="S52" s="154"/>
      <c r="T52" s="154"/>
      <c r="U52" s="154"/>
      <c r="V52" s="154"/>
      <c r="W52" s="154"/>
    </row>
    <row r="53" spans="1:23" ht="27" customHeight="1">
      <c r="A53" s="506"/>
      <c r="B53" s="506"/>
      <c r="C53" s="390" t="s">
        <v>56</v>
      </c>
      <c r="D53" s="471" t="s">
        <v>196</v>
      </c>
      <c r="E53" s="471"/>
      <c r="F53" s="390">
        <v>32</v>
      </c>
      <c r="G53" s="330">
        <f aca="true" t="shared" si="18" ref="G53:M53">G56+G57+G60+G61+G62</f>
        <v>345558.11</v>
      </c>
      <c r="H53" s="330">
        <f t="shared" si="18"/>
        <v>40100</v>
      </c>
      <c r="I53" s="398">
        <f t="shared" si="18"/>
        <v>72850</v>
      </c>
      <c r="J53" s="330">
        <f t="shared" si="18"/>
        <v>112950</v>
      </c>
      <c r="K53" s="398">
        <f t="shared" si="18"/>
        <v>87000</v>
      </c>
      <c r="L53" s="330">
        <f t="shared" si="18"/>
        <v>199950</v>
      </c>
      <c r="M53" s="398">
        <f t="shared" si="18"/>
        <v>145608.11</v>
      </c>
      <c r="N53" s="330">
        <f t="shared" si="2"/>
        <v>345558.11</v>
      </c>
      <c r="O53" s="142"/>
      <c r="P53" s="142"/>
      <c r="R53" s="152" t="s">
        <v>175</v>
      </c>
      <c r="S53" s="154">
        <v>14250.6</v>
      </c>
      <c r="T53" s="154">
        <v>14250.6</v>
      </c>
      <c r="U53" s="154">
        <v>14250.6</v>
      </c>
      <c r="V53" s="154">
        <v>14250.6</v>
      </c>
      <c r="W53" s="154">
        <v>57002.4</v>
      </c>
    </row>
    <row r="54" spans="1:23" ht="27" customHeight="1">
      <c r="A54" s="506"/>
      <c r="B54" s="506"/>
      <c r="C54" s="401"/>
      <c r="D54" s="402"/>
      <c r="E54" s="402" t="s">
        <v>54</v>
      </c>
      <c r="F54" s="401" t="s">
        <v>194</v>
      </c>
      <c r="G54" s="330">
        <f>'Anexa 2'!J54</f>
        <v>35666.67</v>
      </c>
      <c r="H54" s="380">
        <v>0</v>
      </c>
      <c r="I54" s="398">
        <f>G54/G29*I29</f>
        <v>3364.5558699999997</v>
      </c>
      <c r="J54" s="380">
        <f aca="true" t="shared" si="19" ref="J54:L62">H54+I54</f>
        <v>3364.5558699999997</v>
      </c>
      <c r="K54" s="398">
        <f>G54/G29*K29</f>
        <v>13826.779069999999</v>
      </c>
      <c r="L54" s="380">
        <f t="shared" si="19"/>
        <v>17191.334939999997</v>
      </c>
      <c r="M54" s="398">
        <f>G54/G29*L29+428</f>
        <v>18475.33502</v>
      </c>
      <c r="N54" s="330">
        <f t="shared" si="2"/>
        <v>35666.67</v>
      </c>
      <c r="O54" s="142"/>
      <c r="P54" s="142"/>
      <c r="R54" s="152" t="s">
        <v>338</v>
      </c>
      <c r="S54" s="154">
        <v>1060000</v>
      </c>
      <c r="T54" s="154">
        <v>1060000</v>
      </c>
      <c r="U54" s="154">
        <v>1060000</v>
      </c>
      <c r="V54" s="154">
        <v>1060000</v>
      </c>
      <c r="W54" s="154">
        <v>4240000</v>
      </c>
    </row>
    <row r="55" spans="1:23" ht="27" customHeight="1">
      <c r="A55" s="506"/>
      <c r="B55" s="506"/>
      <c r="C55" s="401"/>
      <c r="D55" s="402"/>
      <c r="E55" s="402" t="s">
        <v>55</v>
      </c>
      <c r="F55" s="401" t="s">
        <v>195</v>
      </c>
      <c r="G55" s="330">
        <f>'Anexa 2'!J55</f>
        <v>43175</v>
      </c>
      <c r="H55" s="380">
        <v>0</v>
      </c>
      <c r="I55" s="398">
        <f>G55/95000*10000</f>
        <v>4544.736842105263</v>
      </c>
      <c r="J55" s="380">
        <f t="shared" si="19"/>
        <v>4544.736842105263</v>
      </c>
      <c r="K55" s="398">
        <f>G55/95000*40000</f>
        <v>18178.947368421053</v>
      </c>
      <c r="L55" s="380">
        <f t="shared" si="19"/>
        <v>22723.684210526317</v>
      </c>
      <c r="M55" s="398">
        <f>G55/95000*45000</f>
        <v>20451.315789473683</v>
      </c>
      <c r="N55" s="330">
        <f t="shared" si="2"/>
        <v>43175</v>
      </c>
      <c r="O55" s="142"/>
      <c r="P55" s="142"/>
      <c r="R55" s="152">
        <v>0.01</v>
      </c>
      <c r="S55" s="154">
        <v>1970806.5820415318</v>
      </c>
      <c r="T55" s="154">
        <v>1970806.5820415318</v>
      </c>
      <c r="U55" s="154">
        <v>1970806.5820415318</v>
      </c>
      <c r="V55" s="154">
        <v>1970806.5820415318</v>
      </c>
      <c r="W55" s="154">
        <v>7883226.328166127</v>
      </c>
    </row>
    <row r="56" spans="1:23" ht="27" customHeight="1">
      <c r="A56" s="506"/>
      <c r="B56" s="506"/>
      <c r="C56" s="390" t="s">
        <v>8</v>
      </c>
      <c r="D56" s="471" t="s">
        <v>57</v>
      </c>
      <c r="E56" s="471"/>
      <c r="F56" s="390">
        <v>33</v>
      </c>
      <c r="G56" s="330">
        <f>'Anexa 2'!J56</f>
        <v>0</v>
      </c>
      <c r="H56" s="380"/>
      <c r="I56" s="398"/>
      <c r="J56" s="380">
        <f t="shared" si="19"/>
        <v>0</v>
      </c>
      <c r="K56" s="398"/>
      <c r="L56" s="380">
        <f t="shared" si="19"/>
        <v>0</v>
      </c>
      <c r="M56" s="398"/>
      <c r="N56" s="330">
        <f t="shared" si="2"/>
        <v>0</v>
      </c>
      <c r="O56" s="142"/>
      <c r="P56" s="142"/>
      <c r="R56" s="152"/>
      <c r="S56" s="154"/>
      <c r="T56" s="154"/>
      <c r="U56" s="154"/>
      <c r="V56" s="154"/>
      <c r="W56" s="154">
        <v>0</v>
      </c>
    </row>
    <row r="57" spans="1:34" ht="27" customHeight="1">
      <c r="A57" s="506"/>
      <c r="B57" s="506"/>
      <c r="C57" s="390" t="s">
        <v>20</v>
      </c>
      <c r="D57" s="471" t="s">
        <v>58</v>
      </c>
      <c r="E57" s="471"/>
      <c r="F57" s="390">
        <v>34</v>
      </c>
      <c r="G57" s="330">
        <f>'Anexa 2'!J57</f>
        <v>244901.11</v>
      </c>
      <c r="H57" s="380">
        <v>20000</v>
      </c>
      <c r="I57" s="398">
        <v>45500</v>
      </c>
      <c r="J57" s="380">
        <f t="shared" si="19"/>
        <v>65500</v>
      </c>
      <c r="K57" s="398">
        <v>65900</v>
      </c>
      <c r="L57" s="380">
        <f t="shared" si="19"/>
        <v>131400</v>
      </c>
      <c r="M57" s="398">
        <v>113501.11</v>
      </c>
      <c r="N57" s="330">
        <f t="shared" si="2"/>
        <v>244901.11</v>
      </c>
      <c r="O57" s="142"/>
      <c r="P57" s="142"/>
      <c r="R57" s="152"/>
      <c r="S57" s="154"/>
      <c r="T57" s="154"/>
      <c r="U57" s="154"/>
      <c r="V57" s="154"/>
      <c r="W57" s="154"/>
      <c r="AH57" s="153"/>
    </row>
    <row r="58" spans="1:23" ht="27" customHeight="1">
      <c r="A58" s="506"/>
      <c r="B58" s="506"/>
      <c r="C58" s="390"/>
      <c r="D58" s="391" t="s">
        <v>59</v>
      </c>
      <c r="E58" s="391" t="s">
        <v>60</v>
      </c>
      <c r="F58" s="390">
        <v>35</v>
      </c>
      <c r="G58" s="330">
        <f>'Anexa 2'!J58</f>
        <v>2100</v>
      </c>
      <c r="H58" s="380">
        <f>G58/4</f>
        <v>525</v>
      </c>
      <c r="I58" s="398">
        <v>523</v>
      </c>
      <c r="J58" s="380">
        <f t="shared" si="19"/>
        <v>1048</v>
      </c>
      <c r="K58" s="398">
        <v>510</v>
      </c>
      <c r="L58" s="380">
        <f t="shared" si="19"/>
        <v>1558</v>
      </c>
      <c r="M58" s="398">
        <v>542</v>
      </c>
      <c r="N58" s="330">
        <f t="shared" si="2"/>
        <v>2100</v>
      </c>
      <c r="O58" s="142"/>
      <c r="P58" s="142"/>
      <c r="R58" s="152"/>
      <c r="S58" s="154"/>
      <c r="T58" s="154"/>
      <c r="U58" s="154"/>
      <c r="V58" s="154"/>
      <c r="W58" s="154"/>
    </row>
    <row r="59" spans="1:23" ht="27" customHeight="1">
      <c r="A59" s="506"/>
      <c r="B59" s="506"/>
      <c r="C59" s="390"/>
      <c r="D59" s="391" t="s">
        <v>61</v>
      </c>
      <c r="E59" s="391" t="s">
        <v>62</v>
      </c>
      <c r="F59" s="390">
        <v>36</v>
      </c>
      <c r="G59" s="330">
        <f>'Anexa 2'!J59</f>
        <v>28394.97</v>
      </c>
      <c r="H59" s="380">
        <v>6500</v>
      </c>
      <c r="I59" s="398">
        <v>8000</v>
      </c>
      <c r="J59" s="380">
        <f t="shared" si="19"/>
        <v>14500</v>
      </c>
      <c r="K59" s="398">
        <v>5500</v>
      </c>
      <c r="L59" s="380">
        <f t="shared" si="19"/>
        <v>20000</v>
      </c>
      <c r="M59" s="398">
        <v>8394.97</v>
      </c>
      <c r="N59" s="330">
        <f t="shared" si="2"/>
        <v>28394.97</v>
      </c>
      <c r="O59" s="142"/>
      <c r="P59" s="142"/>
      <c r="R59" s="152"/>
      <c r="S59" s="225"/>
      <c r="T59" s="225"/>
      <c r="U59" s="225"/>
      <c r="V59" s="225"/>
      <c r="W59" s="225"/>
    </row>
    <row r="60" spans="1:23" ht="27" customHeight="1">
      <c r="A60" s="506"/>
      <c r="B60" s="506"/>
      <c r="C60" s="390" t="s">
        <v>22</v>
      </c>
      <c r="D60" s="471" t="s">
        <v>63</v>
      </c>
      <c r="E60" s="471"/>
      <c r="F60" s="390">
        <v>37</v>
      </c>
      <c r="G60" s="330">
        <f>'Anexa 2'!J60</f>
        <v>6000</v>
      </c>
      <c r="H60" s="380">
        <v>1400</v>
      </c>
      <c r="I60" s="398">
        <v>1500</v>
      </c>
      <c r="J60" s="380">
        <f t="shared" si="19"/>
        <v>2900</v>
      </c>
      <c r="K60" s="398">
        <v>1300</v>
      </c>
      <c r="L60" s="380">
        <f t="shared" si="19"/>
        <v>4200</v>
      </c>
      <c r="M60" s="398">
        <v>1800</v>
      </c>
      <c r="N60" s="330">
        <f t="shared" si="2"/>
        <v>6000</v>
      </c>
      <c r="O60" s="142"/>
      <c r="P60" s="142"/>
      <c r="R60" s="152"/>
      <c r="S60" s="154"/>
      <c r="T60" s="154"/>
      <c r="U60" s="154"/>
      <c r="V60" s="154"/>
      <c r="W60" s="225"/>
    </row>
    <row r="61" spans="1:23" ht="27" customHeight="1">
      <c r="A61" s="506"/>
      <c r="B61" s="506"/>
      <c r="C61" s="390" t="s">
        <v>31</v>
      </c>
      <c r="D61" s="474" t="s">
        <v>64</v>
      </c>
      <c r="E61" s="474"/>
      <c r="F61" s="390">
        <v>38</v>
      </c>
      <c r="G61" s="330">
        <f>'Anexa 2'!J61</f>
        <v>93657</v>
      </c>
      <c r="H61" s="380">
        <v>18500</v>
      </c>
      <c r="I61" s="398">
        <v>25500</v>
      </c>
      <c r="J61" s="380">
        <f t="shared" si="19"/>
        <v>44000</v>
      </c>
      <c r="K61" s="398">
        <v>19600</v>
      </c>
      <c r="L61" s="380">
        <f t="shared" si="19"/>
        <v>63600</v>
      </c>
      <c r="M61" s="398">
        <v>30057</v>
      </c>
      <c r="N61" s="330">
        <f t="shared" si="2"/>
        <v>93657</v>
      </c>
      <c r="O61" s="142"/>
      <c r="P61" s="142"/>
      <c r="R61" s="152"/>
      <c r="S61" s="154"/>
      <c r="T61" s="154"/>
      <c r="U61" s="154"/>
      <c r="V61" s="154"/>
      <c r="W61" s="154"/>
    </row>
    <row r="62" spans="1:23" ht="27" customHeight="1">
      <c r="A62" s="506"/>
      <c r="B62" s="506"/>
      <c r="C62" s="390" t="s">
        <v>33</v>
      </c>
      <c r="D62" s="471" t="s">
        <v>65</v>
      </c>
      <c r="E62" s="471"/>
      <c r="F62" s="390">
        <v>39</v>
      </c>
      <c r="G62" s="330">
        <f>'Anexa 2'!J62</f>
        <v>1000</v>
      </c>
      <c r="H62" s="380">
        <v>200</v>
      </c>
      <c r="I62" s="398">
        <v>350</v>
      </c>
      <c r="J62" s="380">
        <f t="shared" si="19"/>
        <v>550</v>
      </c>
      <c r="K62" s="398">
        <v>200</v>
      </c>
      <c r="L62" s="380">
        <f t="shared" si="19"/>
        <v>750</v>
      </c>
      <c r="M62" s="398">
        <v>250</v>
      </c>
      <c r="N62" s="330">
        <f t="shared" si="2"/>
        <v>1000</v>
      </c>
      <c r="O62" s="142"/>
      <c r="P62" s="142"/>
      <c r="R62" s="152">
        <v>20.8</v>
      </c>
      <c r="S62" s="154">
        <v>33647.4201044377</v>
      </c>
      <c r="T62" s="154">
        <v>33647.4201044377</v>
      </c>
      <c r="U62" s="154">
        <v>32930.13616906652</v>
      </c>
      <c r="V62" s="154">
        <v>31495.56829832416</v>
      </c>
      <c r="W62" s="154">
        <v>131720.5446762661</v>
      </c>
    </row>
    <row r="63" spans="1:23" ht="27" customHeight="1">
      <c r="A63" s="506"/>
      <c r="B63" s="506"/>
      <c r="C63" s="390" t="s">
        <v>66</v>
      </c>
      <c r="D63" s="471" t="s">
        <v>200</v>
      </c>
      <c r="E63" s="471"/>
      <c r="F63" s="390">
        <v>40</v>
      </c>
      <c r="G63" s="330">
        <f aca="true" t="shared" si="20" ref="G63:M63">G64+G67+G70</f>
        <v>232874.13999999998</v>
      </c>
      <c r="H63" s="330">
        <f t="shared" si="20"/>
        <v>11275.255</v>
      </c>
      <c r="I63" s="398">
        <f t="shared" si="20"/>
        <v>33490.96763877193</v>
      </c>
      <c r="J63" s="330">
        <f t="shared" si="20"/>
        <v>44766.22263877193</v>
      </c>
      <c r="K63" s="398">
        <f t="shared" si="20"/>
        <v>81160.32163175438</v>
      </c>
      <c r="L63" s="330">
        <f t="shared" si="20"/>
        <v>125926.54427052631</v>
      </c>
      <c r="M63" s="398">
        <f t="shared" si="20"/>
        <v>106947.59</v>
      </c>
      <c r="N63" s="330">
        <f t="shared" si="2"/>
        <v>232874.13999999998</v>
      </c>
      <c r="O63" s="142"/>
      <c r="P63" s="142"/>
      <c r="R63" s="152">
        <v>0.5</v>
      </c>
      <c r="S63" s="154">
        <v>808.8322140489831</v>
      </c>
      <c r="T63" s="154">
        <v>808.8322140489831</v>
      </c>
      <c r="U63" s="154">
        <v>791.5898117564067</v>
      </c>
      <c r="V63" s="154">
        <v>757.1050071712539</v>
      </c>
      <c r="W63" s="154">
        <v>3166.3592470256267</v>
      </c>
    </row>
    <row r="64" spans="1:33" ht="27" customHeight="1">
      <c r="A64" s="506"/>
      <c r="B64" s="506"/>
      <c r="C64" s="403" t="s">
        <v>8</v>
      </c>
      <c r="D64" s="471" t="s">
        <v>67</v>
      </c>
      <c r="E64" s="471"/>
      <c r="F64" s="390">
        <v>41</v>
      </c>
      <c r="G64" s="330">
        <f>'Anexa 2'!J64</f>
        <v>228625</v>
      </c>
      <c r="H64" s="330">
        <v>10100</v>
      </c>
      <c r="I64" s="398">
        <f>20000+I65+I66</f>
        <v>32215.70763877193</v>
      </c>
      <c r="J64" s="380">
        <f aca="true" t="shared" si="21" ref="J64:L66">H64+I64</f>
        <v>42315.70763877193</v>
      </c>
      <c r="K64" s="398">
        <f>30300+K65+K66</f>
        <v>80085.94163175438</v>
      </c>
      <c r="L64" s="380">
        <f t="shared" si="21"/>
        <v>122401.64927052631</v>
      </c>
      <c r="M64" s="398">
        <v>106223.35</v>
      </c>
      <c r="N64" s="330">
        <f t="shared" si="2"/>
        <v>228625</v>
      </c>
      <c r="O64" s="142"/>
      <c r="P64" s="142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</row>
    <row r="65" spans="1:33" ht="27" customHeight="1">
      <c r="A65" s="506"/>
      <c r="B65" s="506"/>
      <c r="C65" s="401"/>
      <c r="D65" s="402"/>
      <c r="E65" s="402" t="s">
        <v>54</v>
      </c>
      <c r="F65" s="401" t="s">
        <v>197</v>
      </c>
      <c r="G65" s="330">
        <f>'Anexa 2'!J65</f>
        <v>89333.33</v>
      </c>
      <c r="H65" s="380">
        <v>0</v>
      </c>
      <c r="I65" s="398">
        <f>G65/G29*I29</f>
        <v>8427.110796666666</v>
      </c>
      <c r="J65" s="380">
        <f t="shared" si="21"/>
        <v>8427.110796666666</v>
      </c>
      <c r="K65" s="398">
        <f>G65/G29*K29</f>
        <v>34631.55426333333</v>
      </c>
      <c r="L65" s="380">
        <f t="shared" si="21"/>
        <v>43058.66506</v>
      </c>
      <c r="M65" s="398">
        <v>46274.66</v>
      </c>
      <c r="N65" s="330">
        <f t="shared" si="2"/>
        <v>89333.33</v>
      </c>
      <c r="O65" s="142"/>
      <c r="P65" s="142"/>
      <c r="R65" s="152"/>
      <c r="S65" s="154"/>
      <c r="T65" s="154"/>
      <c r="U65" s="154"/>
      <c r="V65" s="154"/>
      <c r="W65" s="154"/>
      <c r="AG65" s="153"/>
    </row>
    <row r="66" spans="1:33" ht="27" customHeight="1">
      <c r="A66" s="506"/>
      <c r="B66" s="506"/>
      <c r="C66" s="401"/>
      <c r="D66" s="402"/>
      <c r="E66" s="402" t="s">
        <v>55</v>
      </c>
      <c r="F66" s="401" t="s">
        <v>198</v>
      </c>
      <c r="G66" s="330">
        <f>'Anexa 2'!J66</f>
        <v>35991.67</v>
      </c>
      <c r="H66" s="380">
        <v>0</v>
      </c>
      <c r="I66" s="398">
        <f>G66/95000*10000</f>
        <v>3788.596842105263</v>
      </c>
      <c r="J66" s="380">
        <f t="shared" si="21"/>
        <v>3788.596842105263</v>
      </c>
      <c r="K66" s="398">
        <f>G66/95000*40000</f>
        <v>15154.387368421052</v>
      </c>
      <c r="L66" s="380">
        <f t="shared" si="21"/>
        <v>18942.984210526316</v>
      </c>
      <c r="M66" s="398">
        <f>G66/95000*45000</f>
        <v>17048.685789473682</v>
      </c>
      <c r="N66" s="330">
        <f t="shared" si="2"/>
        <v>35991.67</v>
      </c>
      <c r="O66" s="142"/>
      <c r="P66" s="142"/>
      <c r="R66" s="152"/>
      <c r="S66" s="154"/>
      <c r="T66" s="154"/>
      <c r="U66" s="154"/>
      <c r="V66" s="154"/>
      <c r="W66" s="154"/>
      <c r="AG66" s="153"/>
    </row>
    <row r="67" spans="1:33" ht="27" customHeight="1">
      <c r="A67" s="506"/>
      <c r="B67" s="506"/>
      <c r="C67" s="403" t="s">
        <v>68</v>
      </c>
      <c r="D67" s="471" t="s">
        <v>201</v>
      </c>
      <c r="E67" s="471"/>
      <c r="F67" s="390">
        <v>42</v>
      </c>
      <c r="G67" s="330">
        <f aca="true" t="shared" si="22" ref="G67:M67">G68+G69</f>
        <v>1701.02</v>
      </c>
      <c r="H67" s="330">
        <f t="shared" si="22"/>
        <v>425.255</v>
      </c>
      <c r="I67" s="398">
        <f t="shared" si="22"/>
        <v>425.26</v>
      </c>
      <c r="J67" s="330">
        <f t="shared" si="22"/>
        <v>850.5149999999999</v>
      </c>
      <c r="K67" s="398">
        <f t="shared" si="22"/>
        <v>424.38</v>
      </c>
      <c r="L67" s="330">
        <f t="shared" si="22"/>
        <v>1274.8949999999998</v>
      </c>
      <c r="M67" s="398">
        <f t="shared" si="22"/>
        <v>426.12</v>
      </c>
      <c r="N67" s="330">
        <f t="shared" si="2"/>
        <v>1701.02</v>
      </c>
      <c r="O67" s="142"/>
      <c r="P67" s="142"/>
      <c r="R67" s="152"/>
      <c r="S67" s="154"/>
      <c r="T67" s="154"/>
      <c r="U67" s="154"/>
      <c r="V67" s="154"/>
      <c r="W67" s="154"/>
      <c r="AG67" s="153"/>
    </row>
    <row r="68" spans="1:23" ht="27" customHeight="1">
      <c r="A68" s="506"/>
      <c r="B68" s="506"/>
      <c r="C68" s="403"/>
      <c r="D68" s="391" t="s">
        <v>59</v>
      </c>
      <c r="E68" s="391" t="s">
        <v>69</v>
      </c>
      <c r="F68" s="390">
        <v>43</v>
      </c>
      <c r="G68" s="330">
        <f>'Anexa 2'!J68</f>
        <v>1385.51</v>
      </c>
      <c r="H68" s="380">
        <f>G68/4</f>
        <v>346.3775</v>
      </c>
      <c r="I68" s="398">
        <v>346.38</v>
      </c>
      <c r="J68" s="380">
        <f aca="true" t="shared" si="23" ref="J68:L70">H68+I68</f>
        <v>692.7574999999999</v>
      </c>
      <c r="K68" s="398">
        <v>346.38</v>
      </c>
      <c r="L68" s="380">
        <f t="shared" si="23"/>
        <v>1039.1374999999998</v>
      </c>
      <c r="M68" s="398">
        <v>346.37</v>
      </c>
      <c r="N68" s="330">
        <f t="shared" si="2"/>
        <v>1385.51</v>
      </c>
      <c r="O68" s="142"/>
      <c r="P68" s="142"/>
      <c r="R68" s="152"/>
      <c r="S68" s="154">
        <v>1060</v>
      </c>
      <c r="T68" s="154">
        <v>1060</v>
      </c>
      <c r="U68" s="154">
        <v>1060</v>
      </c>
      <c r="V68" s="154">
        <v>1060</v>
      </c>
      <c r="W68" s="154">
        <v>4240</v>
      </c>
    </row>
    <row r="69" spans="1:23" ht="27" customHeight="1">
      <c r="A69" s="506"/>
      <c r="B69" s="506"/>
      <c r="C69" s="403"/>
      <c r="D69" s="391" t="s">
        <v>61</v>
      </c>
      <c r="E69" s="391" t="s">
        <v>70</v>
      </c>
      <c r="F69" s="390">
        <v>44</v>
      </c>
      <c r="G69" s="330">
        <f>'Anexa 2'!J69</f>
        <v>315.51</v>
      </c>
      <c r="H69" s="380">
        <f>G69/4</f>
        <v>78.8775</v>
      </c>
      <c r="I69" s="398">
        <v>78.88</v>
      </c>
      <c r="J69" s="380">
        <f t="shared" si="23"/>
        <v>157.7575</v>
      </c>
      <c r="K69" s="398">
        <v>78</v>
      </c>
      <c r="L69" s="380">
        <f t="shared" si="23"/>
        <v>235.7575</v>
      </c>
      <c r="M69" s="398">
        <v>79.75</v>
      </c>
      <c r="N69" s="330">
        <f t="shared" si="2"/>
        <v>315.51</v>
      </c>
      <c r="O69" s="142"/>
      <c r="P69" s="142"/>
      <c r="R69" s="152"/>
      <c r="S69" s="154"/>
      <c r="T69" s="154"/>
      <c r="U69" s="154">
        <v>7641</v>
      </c>
      <c r="V69" s="154"/>
      <c r="W69" s="154">
        <v>7641</v>
      </c>
    </row>
    <row r="70" spans="1:23" ht="27" customHeight="1">
      <c r="A70" s="506"/>
      <c r="B70" s="506"/>
      <c r="C70" s="403" t="s">
        <v>22</v>
      </c>
      <c r="D70" s="471" t="s">
        <v>71</v>
      </c>
      <c r="E70" s="471"/>
      <c r="F70" s="390">
        <v>45</v>
      </c>
      <c r="G70" s="330">
        <f>'Anexa 2'!J70</f>
        <v>2548.12</v>
      </c>
      <c r="H70" s="380">
        <v>750</v>
      </c>
      <c r="I70" s="398">
        <v>850</v>
      </c>
      <c r="J70" s="380">
        <f t="shared" si="23"/>
        <v>1600</v>
      </c>
      <c r="K70" s="398">
        <v>650</v>
      </c>
      <c r="L70" s="380">
        <f t="shared" si="23"/>
        <v>2250</v>
      </c>
      <c r="M70" s="398">
        <v>298.12</v>
      </c>
      <c r="N70" s="330">
        <f t="shared" si="2"/>
        <v>2548.12</v>
      </c>
      <c r="O70" s="142"/>
      <c r="P70" s="142"/>
      <c r="R70" s="152"/>
      <c r="S70" s="154"/>
      <c r="T70" s="154">
        <v>0</v>
      </c>
      <c r="U70" s="154">
        <v>0</v>
      </c>
      <c r="V70" s="154">
        <v>0</v>
      </c>
      <c r="W70" s="154">
        <v>0</v>
      </c>
    </row>
    <row r="71" spans="1:23" ht="27" customHeight="1">
      <c r="A71" s="506"/>
      <c r="B71" s="506"/>
      <c r="C71" s="403" t="s">
        <v>72</v>
      </c>
      <c r="D71" s="471" t="s">
        <v>202</v>
      </c>
      <c r="E71" s="471"/>
      <c r="F71" s="390">
        <v>46</v>
      </c>
      <c r="G71" s="330">
        <f aca="true" t="shared" si="24" ref="G71:M71">G72+G73+G75+G82+G87+G88+G92+G93+G94+G103</f>
        <v>463766.31</v>
      </c>
      <c r="H71" s="330">
        <f t="shared" si="24"/>
        <v>109810.6275</v>
      </c>
      <c r="I71" s="398">
        <f t="shared" si="24"/>
        <v>118991.02</v>
      </c>
      <c r="J71" s="330">
        <f t="shared" si="24"/>
        <v>228801.64750000002</v>
      </c>
      <c r="K71" s="398">
        <f t="shared" si="24"/>
        <v>114250.02</v>
      </c>
      <c r="L71" s="330">
        <f t="shared" si="24"/>
        <v>343051.6675</v>
      </c>
      <c r="M71" s="398">
        <f t="shared" si="24"/>
        <v>115514.65</v>
      </c>
      <c r="N71" s="330">
        <f t="shared" si="2"/>
        <v>463766.31</v>
      </c>
      <c r="O71" s="142"/>
      <c r="P71" s="142"/>
      <c r="R71" s="152"/>
      <c r="S71" s="154">
        <v>209122.3273604456</v>
      </c>
      <c r="T71" s="154">
        <v>209096.8273604456</v>
      </c>
      <c r="U71" s="154">
        <v>212297.72430841828</v>
      </c>
      <c r="V71" s="154">
        <v>195878.5182043637</v>
      </c>
      <c r="W71" s="154">
        <v>826395.3972336731</v>
      </c>
    </row>
    <row r="72" spans="1:16" ht="27" customHeight="1">
      <c r="A72" s="506"/>
      <c r="B72" s="506"/>
      <c r="C72" s="403" t="s">
        <v>8</v>
      </c>
      <c r="D72" s="471" t="s">
        <v>73</v>
      </c>
      <c r="E72" s="471"/>
      <c r="F72" s="390">
        <v>47</v>
      </c>
      <c r="G72" s="330">
        <f>'Anexa 2'!J72</f>
        <v>0</v>
      </c>
      <c r="H72" s="380"/>
      <c r="I72" s="398"/>
      <c r="J72" s="380">
        <f aca="true" t="shared" si="25" ref="J72:L74">H72+I72</f>
        <v>0</v>
      </c>
      <c r="K72" s="398"/>
      <c r="L72" s="380">
        <f t="shared" si="25"/>
        <v>0</v>
      </c>
      <c r="M72" s="398"/>
      <c r="N72" s="330">
        <f t="shared" si="2"/>
        <v>0</v>
      </c>
      <c r="O72" s="142"/>
      <c r="P72" s="142"/>
    </row>
    <row r="73" spans="1:16" ht="27" customHeight="1">
      <c r="A73" s="506"/>
      <c r="B73" s="506"/>
      <c r="C73" s="403" t="s">
        <v>20</v>
      </c>
      <c r="D73" s="471" t="s">
        <v>74</v>
      </c>
      <c r="E73" s="471"/>
      <c r="F73" s="390">
        <v>48</v>
      </c>
      <c r="G73" s="330">
        <f>'Anexa 2'!J73</f>
        <v>2358.24</v>
      </c>
      <c r="H73" s="380">
        <v>600</v>
      </c>
      <c r="I73" s="398">
        <v>950</v>
      </c>
      <c r="J73" s="380">
        <f t="shared" si="25"/>
        <v>1550</v>
      </c>
      <c r="K73" s="398">
        <v>300</v>
      </c>
      <c r="L73" s="380">
        <f t="shared" si="25"/>
        <v>1850</v>
      </c>
      <c r="M73" s="398">
        <v>508.24</v>
      </c>
      <c r="N73" s="330">
        <f t="shared" si="2"/>
        <v>2358.24</v>
      </c>
      <c r="O73" s="142"/>
      <c r="P73" s="142"/>
    </row>
    <row r="74" spans="1:16" ht="27" customHeight="1">
      <c r="A74" s="506"/>
      <c r="B74" s="506"/>
      <c r="C74" s="403"/>
      <c r="D74" s="400" t="s">
        <v>59</v>
      </c>
      <c r="E74" s="400" t="s">
        <v>75</v>
      </c>
      <c r="F74" s="390">
        <v>49</v>
      </c>
      <c r="G74" s="330">
        <f>'Anexa 2'!J74</f>
        <v>850</v>
      </c>
      <c r="H74" s="380">
        <v>850</v>
      </c>
      <c r="I74" s="398">
        <v>0</v>
      </c>
      <c r="J74" s="380">
        <f t="shared" si="25"/>
        <v>850</v>
      </c>
      <c r="K74" s="398">
        <v>0</v>
      </c>
      <c r="L74" s="380">
        <f t="shared" si="25"/>
        <v>850</v>
      </c>
      <c r="M74" s="398">
        <v>0</v>
      </c>
      <c r="N74" s="330">
        <f t="shared" si="2"/>
        <v>850</v>
      </c>
      <c r="O74" s="142"/>
      <c r="P74" s="142"/>
    </row>
    <row r="75" spans="1:16" ht="27" customHeight="1">
      <c r="A75" s="506"/>
      <c r="B75" s="506"/>
      <c r="C75" s="403" t="s">
        <v>22</v>
      </c>
      <c r="D75" s="471" t="s">
        <v>203</v>
      </c>
      <c r="E75" s="471"/>
      <c r="F75" s="390">
        <v>50</v>
      </c>
      <c r="G75" s="330">
        <f aca="true" t="shared" si="26" ref="G75:M75">G76</f>
        <v>42.8</v>
      </c>
      <c r="H75" s="330">
        <f t="shared" si="26"/>
        <v>10.7</v>
      </c>
      <c r="I75" s="398">
        <f t="shared" si="26"/>
        <v>10.7</v>
      </c>
      <c r="J75" s="330">
        <f t="shared" si="26"/>
        <v>21.4</v>
      </c>
      <c r="K75" s="398">
        <f t="shared" si="26"/>
        <v>10.7</v>
      </c>
      <c r="L75" s="330">
        <f t="shared" si="26"/>
        <v>32.099999999999994</v>
      </c>
      <c r="M75" s="398">
        <f t="shared" si="26"/>
        <v>10.7</v>
      </c>
      <c r="N75" s="330">
        <f t="shared" si="2"/>
        <v>42.8</v>
      </c>
      <c r="O75" s="142"/>
      <c r="P75" s="142"/>
    </row>
    <row r="76" spans="1:16" ht="27" customHeight="1">
      <c r="A76" s="506"/>
      <c r="B76" s="506"/>
      <c r="C76" s="403"/>
      <c r="D76" s="400" t="s">
        <v>76</v>
      </c>
      <c r="E76" s="400" t="s">
        <v>77</v>
      </c>
      <c r="F76" s="390">
        <v>51</v>
      </c>
      <c r="G76" s="330">
        <f>'Anexa 2'!J76</f>
        <v>42.8</v>
      </c>
      <c r="H76" s="380">
        <f>G76/4</f>
        <v>10.7</v>
      </c>
      <c r="I76" s="398">
        <v>10.7</v>
      </c>
      <c r="J76" s="380">
        <f aca="true" t="shared" si="27" ref="J76:L88">H76+I76</f>
        <v>21.4</v>
      </c>
      <c r="K76" s="398">
        <v>10.7</v>
      </c>
      <c r="L76" s="380">
        <f t="shared" si="27"/>
        <v>32.099999999999994</v>
      </c>
      <c r="M76" s="398">
        <v>10.7</v>
      </c>
      <c r="N76" s="330">
        <f t="shared" si="2"/>
        <v>42.8</v>
      </c>
      <c r="O76" s="142"/>
      <c r="P76" s="142"/>
    </row>
    <row r="77" spans="1:16" ht="27" customHeight="1">
      <c r="A77" s="506"/>
      <c r="B77" s="506"/>
      <c r="C77" s="403"/>
      <c r="D77" s="400"/>
      <c r="E77" s="400" t="s">
        <v>78</v>
      </c>
      <c r="F77" s="390">
        <v>52</v>
      </c>
      <c r="G77" s="330"/>
      <c r="H77" s="380"/>
      <c r="I77" s="398"/>
      <c r="J77" s="380">
        <f t="shared" si="27"/>
        <v>0</v>
      </c>
      <c r="K77" s="398"/>
      <c r="L77" s="380">
        <f t="shared" si="27"/>
        <v>0</v>
      </c>
      <c r="M77" s="398"/>
      <c r="N77" s="330">
        <f t="shared" si="2"/>
        <v>0</v>
      </c>
      <c r="O77" s="142"/>
      <c r="P77" s="142"/>
    </row>
    <row r="78" spans="1:16" ht="27" customHeight="1">
      <c r="A78" s="506"/>
      <c r="B78" s="506"/>
      <c r="C78" s="403"/>
      <c r="D78" s="400" t="s">
        <v>79</v>
      </c>
      <c r="E78" s="400" t="s">
        <v>80</v>
      </c>
      <c r="F78" s="390">
        <v>53</v>
      </c>
      <c r="G78" s="330">
        <f>'Anexa 2'!J78</f>
        <v>0</v>
      </c>
      <c r="H78" s="380"/>
      <c r="I78" s="398"/>
      <c r="J78" s="380">
        <f t="shared" si="27"/>
        <v>0</v>
      </c>
      <c r="K78" s="398"/>
      <c r="L78" s="380">
        <f t="shared" si="27"/>
        <v>0</v>
      </c>
      <c r="M78" s="398"/>
      <c r="N78" s="330">
        <f t="shared" si="2"/>
        <v>0</v>
      </c>
      <c r="O78" s="142"/>
      <c r="P78" s="142"/>
    </row>
    <row r="79" spans="1:16" ht="27" customHeight="1">
      <c r="A79" s="506"/>
      <c r="B79" s="506"/>
      <c r="C79" s="403"/>
      <c r="D79" s="400"/>
      <c r="E79" s="400" t="s">
        <v>81</v>
      </c>
      <c r="F79" s="390">
        <v>54</v>
      </c>
      <c r="G79" s="330"/>
      <c r="H79" s="380"/>
      <c r="I79" s="398"/>
      <c r="J79" s="380">
        <f t="shared" si="27"/>
        <v>0</v>
      </c>
      <c r="K79" s="398"/>
      <c r="L79" s="380">
        <f t="shared" si="27"/>
        <v>0</v>
      </c>
      <c r="M79" s="398"/>
      <c r="N79" s="330">
        <f t="shared" si="2"/>
        <v>0</v>
      </c>
      <c r="O79" s="142"/>
      <c r="P79" s="142"/>
    </row>
    <row r="80" spans="1:16" ht="27" customHeight="1">
      <c r="A80" s="506"/>
      <c r="B80" s="506"/>
      <c r="C80" s="403"/>
      <c r="D80" s="400"/>
      <c r="E80" s="400" t="s">
        <v>82</v>
      </c>
      <c r="F80" s="390">
        <v>55</v>
      </c>
      <c r="G80" s="330"/>
      <c r="H80" s="380"/>
      <c r="I80" s="398"/>
      <c r="J80" s="380">
        <f t="shared" si="27"/>
        <v>0</v>
      </c>
      <c r="K80" s="398"/>
      <c r="L80" s="380">
        <f t="shared" si="27"/>
        <v>0</v>
      </c>
      <c r="M80" s="398"/>
      <c r="N80" s="330">
        <f t="shared" si="2"/>
        <v>0</v>
      </c>
      <c r="O80" s="142"/>
      <c r="P80" s="142"/>
    </row>
    <row r="81" spans="1:16" ht="27" customHeight="1">
      <c r="A81" s="506"/>
      <c r="B81" s="506"/>
      <c r="C81" s="403"/>
      <c r="D81" s="400"/>
      <c r="E81" s="400" t="s">
        <v>83</v>
      </c>
      <c r="F81" s="390">
        <v>56</v>
      </c>
      <c r="G81" s="330"/>
      <c r="H81" s="380"/>
      <c r="I81" s="398"/>
      <c r="J81" s="380">
        <f t="shared" si="27"/>
        <v>0</v>
      </c>
      <c r="K81" s="398"/>
      <c r="L81" s="380">
        <f t="shared" si="27"/>
        <v>0</v>
      </c>
      <c r="M81" s="398"/>
      <c r="N81" s="330">
        <f aca="true" t="shared" si="28" ref="N81:N144">G81</f>
        <v>0</v>
      </c>
      <c r="O81" s="142"/>
      <c r="P81" s="142"/>
    </row>
    <row r="82" spans="1:16" ht="27" customHeight="1">
      <c r="A82" s="506"/>
      <c r="B82" s="506"/>
      <c r="C82" s="403" t="s">
        <v>31</v>
      </c>
      <c r="D82" s="471" t="s">
        <v>204</v>
      </c>
      <c r="E82" s="476"/>
      <c r="F82" s="390">
        <v>57</v>
      </c>
      <c r="G82" s="330">
        <f>'Anexa 2'!J82</f>
        <v>0</v>
      </c>
      <c r="H82" s="380"/>
      <c r="I82" s="398"/>
      <c r="J82" s="380">
        <f t="shared" si="27"/>
        <v>0</v>
      </c>
      <c r="K82" s="398"/>
      <c r="L82" s="380">
        <f t="shared" si="27"/>
        <v>0</v>
      </c>
      <c r="M82" s="398"/>
      <c r="N82" s="330">
        <f t="shared" si="28"/>
        <v>0</v>
      </c>
      <c r="O82" s="142"/>
      <c r="P82" s="142"/>
    </row>
    <row r="83" spans="1:16" ht="27" customHeight="1">
      <c r="A83" s="506"/>
      <c r="B83" s="506"/>
      <c r="C83" s="403"/>
      <c r="D83" s="391" t="s">
        <v>84</v>
      </c>
      <c r="E83" s="400" t="s">
        <v>85</v>
      </c>
      <c r="F83" s="390">
        <v>58</v>
      </c>
      <c r="G83" s="330"/>
      <c r="H83" s="380"/>
      <c r="I83" s="398"/>
      <c r="J83" s="380">
        <f t="shared" si="27"/>
        <v>0</v>
      </c>
      <c r="K83" s="398"/>
      <c r="L83" s="380">
        <f t="shared" si="27"/>
        <v>0</v>
      </c>
      <c r="M83" s="398"/>
      <c r="N83" s="330">
        <f t="shared" si="28"/>
        <v>0</v>
      </c>
      <c r="O83" s="142"/>
      <c r="P83" s="142"/>
    </row>
    <row r="84" spans="1:16" ht="27" customHeight="1">
      <c r="A84" s="506"/>
      <c r="B84" s="506"/>
      <c r="C84" s="403"/>
      <c r="D84" s="391" t="s">
        <v>86</v>
      </c>
      <c r="E84" s="400" t="s">
        <v>87</v>
      </c>
      <c r="F84" s="390">
        <v>59</v>
      </c>
      <c r="G84" s="330"/>
      <c r="H84" s="380"/>
      <c r="I84" s="398"/>
      <c r="J84" s="380">
        <f t="shared" si="27"/>
        <v>0</v>
      </c>
      <c r="K84" s="398"/>
      <c r="L84" s="380">
        <f t="shared" si="27"/>
        <v>0</v>
      </c>
      <c r="M84" s="398"/>
      <c r="N84" s="330">
        <f t="shared" si="28"/>
        <v>0</v>
      </c>
      <c r="O84" s="142"/>
      <c r="P84" s="142"/>
    </row>
    <row r="85" spans="1:16" ht="27" customHeight="1">
      <c r="A85" s="506"/>
      <c r="B85" s="506"/>
      <c r="C85" s="403"/>
      <c r="D85" s="391" t="s">
        <v>88</v>
      </c>
      <c r="E85" s="400" t="s">
        <v>89</v>
      </c>
      <c r="F85" s="390">
        <v>60</v>
      </c>
      <c r="G85" s="330"/>
      <c r="H85" s="380"/>
      <c r="I85" s="398"/>
      <c r="J85" s="380">
        <f t="shared" si="27"/>
        <v>0</v>
      </c>
      <c r="K85" s="398"/>
      <c r="L85" s="380">
        <f t="shared" si="27"/>
        <v>0</v>
      </c>
      <c r="M85" s="398"/>
      <c r="N85" s="330">
        <f t="shared" si="28"/>
        <v>0</v>
      </c>
      <c r="O85" s="142"/>
      <c r="P85" s="142"/>
    </row>
    <row r="86" spans="1:16" ht="27" customHeight="1">
      <c r="A86" s="506"/>
      <c r="B86" s="506"/>
      <c r="C86" s="403"/>
      <c r="D86" s="391" t="s">
        <v>90</v>
      </c>
      <c r="E86" s="400" t="s">
        <v>91</v>
      </c>
      <c r="F86" s="390">
        <v>61</v>
      </c>
      <c r="G86" s="330"/>
      <c r="H86" s="380"/>
      <c r="I86" s="398"/>
      <c r="J86" s="380">
        <f t="shared" si="27"/>
        <v>0</v>
      </c>
      <c r="K86" s="398"/>
      <c r="L86" s="380">
        <f t="shared" si="27"/>
        <v>0</v>
      </c>
      <c r="M86" s="398"/>
      <c r="N86" s="330">
        <f t="shared" si="28"/>
        <v>0</v>
      </c>
      <c r="O86" s="142"/>
      <c r="P86" s="142"/>
    </row>
    <row r="87" spans="1:16" ht="27" customHeight="1">
      <c r="A87" s="506"/>
      <c r="B87" s="506"/>
      <c r="C87" s="403" t="s">
        <v>33</v>
      </c>
      <c r="D87" s="471" t="s">
        <v>92</v>
      </c>
      <c r="E87" s="471"/>
      <c r="F87" s="390">
        <v>62</v>
      </c>
      <c r="G87" s="330">
        <f>'Anexa 2'!J87</f>
        <v>55026.04</v>
      </c>
      <c r="H87" s="380">
        <v>12500</v>
      </c>
      <c r="I87" s="398">
        <v>16500</v>
      </c>
      <c r="J87" s="380">
        <f t="shared" si="27"/>
        <v>29000</v>
      </c>
      <c r="K87" s="398">
        <v>12500</v>
      </c>
      <c r="L87" s="380">
        <f t="shared" si="27"/>
        <v>41500</v>
      </c>
      <c r="M87" s="398">
        <v>13526.04</v>
      </c>
      <c r="N87" s="330">
        <f t="shared" si="28"/>
        <v>55026.04</v>
      </c>
      <c r="O87" s="142"/>
      <c r="P87" s="142"/>
    </row>
    <row r="88" spans="1:16" ht="27" customHeight="1">
      <c r="A88" s="506"/>
      <c r="B88" s="506"/>
      <c r="C88" s="403" t="s">
        <v>35</v>
      </c>
      <c r="D88" s="471" t="s">
        <v>93</v>
      </c>
      <c r="E88" s="471"/>
      <c r="F88" s="390">
        <v>63</v>
      </c>
      <c r="G88" s="330">
        <f>'Anexa 2'!J88</f>
        <v>6417.29</v>
      </c>
      <c r="H88" s="380">
        <f>G88/4</f>
        <v>1604.3225</v>
      </c>
      <c r="I88" s="398">
        <v>1604.32</v>
      </c>
      <c r="J88" s="380">
        <f t="shared" si="27"/>
        <v>3208.6425</v>
      </c>
      <c r="K88" s="398">
        <v>1604.32</v>
      </c>
      <c r="L88" s="380">
        <f t="shared" si="27"/>
        <v>4812.9625</v>
      </c>
      <c r="M88" s="398">
        <v>1604.33</v>
      </c>
      <c r="N88" s="330">
        <f t="shared" si="28"/>
        <v>6417.29</v>
      </c>
      <c r="O88" s="142"/>
      <c r="P88" s="142"/>
    </row>
    <row r="89" spans="1:16" ht="27" customHeight="1">
      <c r="A89" s="506"/>
      <c r="B89" s="506"/>
      <c r="C89" s="403"/>
      <c r="D89" s="471" t="s">
        <v>205</v>
      </c>
      <c r="E89" s="471"/>
      <c r="F89" s="390">
        <v>64</v>
      </c>
      <c r="G89" s="330">
        <f aca="true" t="shared" si="29" ref="G89:M89">G90+G91</f>
        <v>5003.59</v>
      </c>
      <c r="H89" s="330">
        <f t="shared" si="29"/>
        <v>1250.8975</v>
      </c>
      <c r="I89" s="398">
        <f t="shared" si="29"/>
        <v>1250.9</v>
      </c>
      <c r="J89" s="330">
        <f t="shared" si="29"/>
        <v>2501.7975</v>
      </c>
      <c r="K89" s="398">
        <f t="shared" si="29"/>
        <v>1251</v>
      </c>
      <c r="L89" s="330">
        <f t="shared" si="29"/>
        <v>3752.7975</v>
      </c>
      <c r="M89" s="398">
        <f t="shared" si="29"/>
        <v>1250.79</v>
      </c>
      <c r="N89" s="330">
        <f t="shared" si="28"/>
        <v>5003.59</v>
      </c>
      <c r="O89" s="142"/>
      <c r="P89" s="142"/>
    </row>
    <row r="90" spans="1:16" ht="27" customHeight="1">
      <c r="A90" s="506"/>
      <c r="B90" s="506"/>
      <c r="C90" s="403"/>
      <c r="D90" s="480" t="s">
        <v>94</v>
      </c>
      <c r="E90" s="480"/>
      <c r="F90" s="390">
        <v>65</v>
      </c>
      <c r="G90" s="330">
        <f>'Anexa 2'!J90</f>
        <v>4898.59</v>
      </c>
      <c r="H90" s="380">
        <f>G90/4</f>
        <v>1224.6475</v>
      </c>
      <c r="I90" s="398">
        <v>1224.65</v>
      </c>
      <c r="J90" s="380">
        <f aca="true" t="shared" si="30" ref="J90:L93">H90+I90</f>
        <v>2449.2975</v>
      </c>
      <c r="K90" s="398">
        <v>1225</v>
      </c>
      <c r="L90" s="380">
        <f t="shared" si="30"/>
        <v>3674.2975</v>
      </c>
      <c r="M90" s="398">
        <v>1224.29</v>
      </c>
      <c r="N90" s="330">
        <f t="shared" si="28"/>
        <v>4898.59</v>
      </c>
      <c r="O90" s="142"/>
      <c r="P90" s="142"/>
    </row>
    <row r="91" spans="1:16" ht="27" customHeight="1">
      <c r="A91" s="506"/>
      <c r="B91" s="506"/>
      <c r="C91" s="403"/>
      <c r="D91" s="480" t="s">
        <v>95</v>
      </c>
      <c r="E91" s="480"/>
      <c r="F91" s="390">
        <v>66</v>
      </c>
      <c r="G91" s="330">
        <f>'Anexa 2'!J91</f>
        <v>105</v>
      </c>
      <c r="H91" s="380">
        <f>G91/4</f>
        <v>26.25</v>
      </c>
      <c r="I91" s="398">
        <v>26.25</v>
      </c>
      <c r="J91" s="380">
        <f t="shared" si="30"/>
        <v>52.5</v>
      </c>
      <c r="K91" s="398">
        <v>26</v>
      </c>
      <c r="L91" s="380">
        <f t="shared" si="30"/>
        <v>78.5</v>
      </c>
      <c r="M91" s="398">
        <v>26.5</v>
      </c>
      <c r="N91" s="330">
        <f t="shared" si="28"/>
        <v>105</v>
      </c>
      <c r="O91" s="142"/>
      <c r="P91" s="142"/>
    </row>
    <row r="92" spans="1:16" ht="27" customHeight="1">
      <c r="A92" s="506"/>
      <c r="B92" s="506"/>
      <c r="C92" s="403" t="s">
        <v>96</v>
      </c>
      <c r="D92" s="471" t="s">
        <v>97</v>
      </c>
      <c r="E92" s="471"/>
      <c r="F92" s="390">
        <v>67</v>
      </c>
      <c r="G92" s="330">
        <f>'Anexa 2'!J92</f>
        <v>1698.92</v>
      </c>
      <c r="H92" s="380">
        <f aca="true" t="shared" si="31" ref="H92:H97">G92/4</f>
        <v>424.73</v>
      </c>
      <c r="I92" s="398">
        <v>425</v>
      </c>
      <c r="J92" s="380">
        <f t="shared" si="30"/>
        <v>849.73</v>
      </c>
      <c r="K92" s="398">
        <v>424</v>
      </c>
      <c r="L92" s="380">
        <f t="shared" si="30"/>
        <v>1273.73</v>
      </c>
      <c r="M92" s="398">
        <v>425.19</v>
      </c>
      <c r="N92" s="330">
        <f t="shared" si="28"/>
        <v>1698.92</v>
      </c>
      <c r="O92" s="142"/>
      <c r="P92" s="142"/>
    </row>
    <row r="93" spans="1:16" ht="27" customHeight="1">
      <c r="A93" s="506"/>
      <c r="B93" s="506"/>
      <c r="C93" s="403" t="s">
        <v>98</v>
      </c>
      <c r="D93" s="471" t="s">
        <v>99</v>
      </c>
      <c r="E93" s="471"/>
      <c r="F93" s="390">
        <v>68</v>
      </c>
      <c r="G93" s="330">
        <f>'Anexa 2'!J93</f>
        <v>721.2</v>
      </c>
      <c r="H93" s="380">
        <v>120</v>
      </c>
      <c r="I93" s="398">
        <v>250</v>
      </c>
      <c r="J93" s="380">
        <f t="shared" si="30"/>
        <v>370</v>
      </c>
      <c r="K93" s="398">
        <v>160</v>
      </c>
      <c r="L93" s="380">
        <f t="shared" si="30"/>
        <v>530</v>
      </c>
      <c r="M93" s="398">
        <v>191.2</v>
      </c>
      <c r="N93" s="330">
        <f t="shared" si="28"/>
        <v>721.2</v>
      </c>
      <c r="O93" s="142"/>
      <c r="P93" s="142"/>
    </row>
    <row r="94" spans="1:16" ht="27" customHeight="1">
      <c r="A94" s="506"/>
      <c r="B94" s="506"/>
      <c r="C94" s="403" t="s">
        <v>100</v>
      </c>
      <c r="D94" s="471" t="s">
        <v>206</v>
      </c>
      <c r="E94" s="471"/>
      <c r="F94" s="390">
        <v>69</v>
      </c>
      <c r="G94" s="330">
        <f aca="true" t="shared" si="32" ref="G94:M94">G95+G96+G97+G98+G100+G101+G102</f>
        <v>215423.5</v>
      </c>
      <c r="H94" s="330">
        <f t="shared" si="32"/>
        <v>54230.875</v>
      </c>
      <c r="I94" s="398">
        <f t="shared" si="32"/>
        <v>53731</v>
      </c>
      <c r="J94" s="330">
        <f t="shared" si="32"/>
        <v>107961.875</v>
      </c>
      <c r="K94" s="398">
        <f t="shared" si="32"/>
        <v>53731</v>
      </c>
      <c r="L94" s="330">
        <f t="shared" si="32"/>
        <v>161692.875</v>
      </c>
      <c r="M94" s="398">
        <f t="shared" si="32"/>
        <v>53730.63</v>
      </c>
      <c r="N94" s="330">
        <f t="shared" si="28"/>
        <v>215423.5</v>
      </c>
      <c r="O94" s="142"/>
      <c r="P94" s="142"/>
    </row>
    <row r="95" spans="1:16" ht="27" customHeight="1">
      <c r="A95" s="506"/>
      <c r="B95" s="506"/>
      <c r="C95" s="403"/>
      <c r="D95" s="391" t="s">
        <v>101</v>
      </c>
      <c r="E95" s="391" t="s">
        <v>102</v>
      </c>
      <c r="F95" s="390">
        <v>70</v>
      </c>
      <c r="G95" s="330">
        <f>'Anexa 2'!J95</f>
        <v>8664.16</v>
      </c>
      <c r="H95" s="380">
        <f t="shared" si="31"/>
        <v>2166.04</v>
      </c>
      <c r="I95" s="398">
        <v>2166</v>
      </c>
      <c r="J95" s="380">
        <f aca="true" t="shared" si="33" ref="J95:L103">H95+I95</f>
        <v>4332.04</v>
      </c>
      <c r="K95" s="398">
        <v>2167</v>
      </c>
      <c r="L95" s="380">
        <f t="shared" si="33"/>
        <v>6499.04</v>
      </c>
      <c r="M95" s="398">
        <v>2165.12</v>
      </c>
      <c r="N95" s="330">
        <f t="shared" si="28"/>
        <v>8664.16</v>
      </c>
      <c r="O95" s="142"/>
      <c r="P95" s="142"/>
    </row>
    <row r="96" spans="1:16" ht="27" customHeight="1">
      <c r="A96" s="506"/>
      <c r="B96" s="506"/>
      <c r="C96" s="403"/>
      <c r="D96" s="391" t="s">
        <v>103</v>
      </c>
      <c r="E96" s="391" t="s">
        <v>104</v>
      </c>
      <c r="F96" s="390">
        <v>71</v>
      </c>
      <c r="G96" s="330">
        <f>'Anexa 2'!J96</f>
        <v>0</v>
      </c>
      <c r="H96" s="380"/>
      <c r="I96" s="398"/>
      <c r="J96" s="380">
        <f t="shared" si="33"/>
        <v>0</v>
      </c>
      <c r="K96" s="398"/>
      <c r="L96" s="380">
        <f t="shared" si="33"/>
        <v>0</v>
      </c>
      <c r="M96" s="398"/>
      <c r="N96" s="330">
        <f t="shared" si="28"/>
        <v>0</v>
      </c>
      <c r="O96" s="142"/>
      <c r="P96" s="142"/>
    </row>
    <row r="97" spans="1:16" ht="27" customHeight="1">
      <c r="A97" s="506"/>
      <c r="B97" s="506"/>
      <c r="C97" s="403"/>
      <c r="D97" s="391" t="s">
        <v>105</v>
      </c>
      <c r="E97" s="391" t="s">
        <v>106</v>
      </c>
      <c r="F97" s="390">
        <v>72</v>
      </c>
      <c r="G97" s="330">
        <f>'Anexa 2'!J97</f>
        <v>5259.34</v>
      </c>
      <c r="H97" s="380">
        <f t="shared" si="31"/>
        <v>1314.835</v>
      </c>
      <c r="I97" s="398">
        <v>1315</v>
      </c>
      <c r="J97" s="380">
        <f t="shared" si="33"/>
        <v>2629.835</v>
      </c>
      <c r="K97" s="398">
        <v>1314</v>
      </c>
      <c r="L97" s="380">
        <f t="shared" si="33"/>
        <v>3943.835</v>
      </c>
      <c r="M97" s="398">
        <v>1315.51</v>
      </c>
      <c r="N97" s="330">
        <f t="shared" si="28"/>
        <v>5259.34</v>
      </c>
      <c r="O97" s="142"/>
      <c r="P97" s="142"/>
    </row>
    <row r="98" spans="1:16" ht="46.5" customHeight="1">
      <c r="A98" s="506"/>
      <c r="B98" s="506"/>
      <c r="C98" s="403"/>
      <c r="D98" s="391" t="s">
        <v>107</v>
      </c>
      <c r="E98" s="391" t="s">
        <v>108</v>
      </c>
      <c r="F98" s="390">
        <v>73</v>
      </c>
      <c r="G98" s="330">
        <f>'Anexa 2'!J98</f>
        <v>500</v>
      </c>
      <c r="H98" s="380">
        <v>500</v>
      </c>
      <c r="I98" s="398">
        <v>0</v>
      </c>
      <c r="J98" s="380">
        <f t="shared" si="33"/>
        <v>500</v>
      </c>
      <c r="K98" s="398">
        <v>0</v>
      </c>
      <c r="L98" s="380">
        <f t="shared" si="33"/>
        <v>500</v>
      </c>
      <c r="M98" s="398">
        <v>0</v>
      </c>
      <c r="N98" s="330">
        <f t="shared" si="28"/>
        <v>500</v>
      </c>
      <c r="O98" s="142"/>
      <c r="P98" s="142"/>
    </row>
    <row r="99" spans="1:16" ht="27" customHeight="1">
      <c r="A99" s="506"/>
      <c r="B99" s="506"/>
      <c r="C99" s="403"/>
      <c r="D99" s="391"/>
      <c r="E99" s="391" t="s">
        <v>109</v>
      </c>
      <c r="F99" s="390">
        <v>74</v>
      </c>
      <c r="G99" s="330">
        <f>'Anexa 2'!J99</f>
        <v>0</v>
      </c>
      <c r="H99" s="380"/>
      <c r="I99" s="398"/>
      <c r="J99" s="380">
        <f t="shared" si="33"/>
        <v>0</v>
      </c>
      <c r="K99" s="398"/>
      <c r="L99" s="380">
        <f t="shared" si="33"/>
        <v>0</v>
      </c>
      <c r="M99" s="398"/>
      <c r="N99" s="330">
        <f t="shared" si="28"/>
        <v>0</v>
      </c>
      <c r="O99" s="142"/>
      <c r="P99" s="142"/>
    </row>
    <row r="100" spans="1:16" ht="27" customHeight="1">
      <c r="A100" s="506"/>
      <c r="B100" s="506"/>
      <c r="C100" s="403"/>
      <c r="D100" s="391" t="s">
        <v>110</v>
      </c>
      <c r="E100" s="391" t="s">
        <v>111</v>
      </c>
      <c r="F100" s="390">
        <v>75</v>
      </c>
      <c r="G100" s="330">
        <f>'Anexa 2'!J100</f>
        <v>201000</v>
      </c>
      <c r="H100" s="380">
        <f>G100/4</f>
        <v>50250</v>
      </c>
      <c r="I100" s="398">
        <v>50250</v>
      </c>
      <c r="J100" s="380">
        <f t="shared" si="33"/>
        <v>100500</v>
      </c>
      <c r="K100" s="398">
        <v>50250</v>
      </c>
      <c r="L100" s="380">
        <f t="shared" si="33"/>
        <v>150750</v>
      </c>
      <c r="M100" s="398">
        <v>50250</v>
      </c>
      <c r="N100" s="330">
        <f t="shared" si="28"/>
        <v>201000</v>
      </c>
      <c r="O100" s="142"/>
      <c r="P100" s="142"/>
    </row>
    <row r="101" spans="1:16" ht="27" customHeight="1">
      <c r="A101" s="506"/>
      <c r="B101" s="506"/>
      <c r="C101" s="403"/>
      <c r="D101" s="391" t="s">
        <v>112</v>
      </c>
      <c r="E101" s="391" t="s">
        <v>113</v>
      </c>
      <c r="F101" s="390">
        <v>76</v>
      </c>
      <c r="G101" s="330">
        <f>'Anexa 2'!J101</f>
        <v>0</v>
      </c>
      <c r="H101" s="330"/>
      <c r="I101" s="398"/>
      <c r="J101" s="380">
        <f t="shared" si="33"/>
        <v>0</v>
      </c>
      <c r="K101" s="398"/>
      <c r="L101" s="380">
        <f t="shared" si="33"/>
        <v>0</v>
      </c>
      <c r="M101" s="398"/>
      <c r="N101" s="330">
        <f t="shared" si="28"/>
        <v>0</v>
      </c>
      <c r="O101" s="142"/>
      <c r="P101" s="142"/>
    </row>
    <row r="102" spans="1:16" ht="27" customHeight="1">
      <c r="A102" s="506"/>
      <c r="B102" s="506"/>
      <c r="C102" s="403"/>
      <c r="D102" s="391" t="s">
        <v>114</v>
      </c>
      <c r="E102" s="391" t="s">
        <v>115</v>
      </c>
      <c r="F102" s="390">
        <v>77</v>
      </c>
      <c r="G102" s="330">
        <f>'Anexa 2'!J102</f>
        <v>0</v>
      </c>
      <c r="H102" s="330"/>
      <c r="I102" s="398"/>
      <c r="J102" s="380">
        <f t="shared" si="33"/>
        <v>0</v>
      </c>
      <c r="K102" s="398"/>
      <c r="L102" s="380">
        <f t="shared" si="33"/>
        <v>0</v>
      </c>
      <c r="M102" s="398"/>
      <c r="N102" s="330">
        <f t="shared" si="28"/>
        <v>0</v>
      </c>
      <c r="O102" s="142"/>
      <c r="P102" s="142"/>
    </row>
    <row r="103" spans="1:17" s="426" customFormat="1" ht="27" customHeight="1">
      <c r="A103" s="506"/>
      <c r="B103" s="506"/>
      <c r="C103" s="430" t="s">
        <v>116</v>
      </c>
      <c r="D103" s="474" t="s">
        <v>117</v>
      </c>
      <c r="E103" s="474"/>
      <c r="F103" s="421">
        <v>78</v>
      </c>
      <c r="G103" s="380">
        <f>'Anexa 2'!J103</f>
        <v>182078.32</v>
      </c>
      <c r="H103" s="380">
        <f>45520-5200</f>
        <v>40320</v>
      </c>
      <c r="I103" s="380">
        <v>45520</v>
      </c>
      <c r="J103" s="380">
        <f t="shared" si="33"/>
        <v>85840</v>
      </c>
      <c r="K103" s="380">
        <v>45520</v>
      </c>
      <c r="L103" s="380">
        <f t="shared" si="33"/>
        <v>131360</v>
      </c>
      <c r="M103" s="380">
        <v>45518.32</v>
      </c>
      <c r="N103" s="380">
        <f t="shared" si="28"/>
        <v>182078.32</v>
      </c>
      <c r="O103" s="142"/>
      <c r="P103" s="142"/>
      <c r="Q103" s="142"/>
    </row>
    <row r="104" spans="1:16" ht="27" customHeight="1">
      <c r="A104" s="506"/>
      <c r="B104" s="506"/>
      <c r="C104" s="471" t="s">
        <v>207</v>
      </c>
      <c r="D104" s="471"/>
      <c r="E104" s="471"/>
      <c r="F104" s="390">
        <v>79</v>
      </c>
      <c r="G104" s="330">
        <f aca="true" t="shared" si="34" ref="G104:M104">G105+G106+G107+G108+G109+G110</f>
        <v>84903.68</v>
      </c>
      <c r="H104" s="330">
        <f t="shared" si="34"/>
        <v>11018</v>
      </c>
      <c r="I104" s="398">
        <f t="shared" si="34"/>
        <v>15042.999649122808</v>
      </c>
      <c r="J104" s="330">
        <f t="shared" si="34"/>
        <v>26060.99964912281</v>
      </c>
      <c r="K104" s="398">
        <f t="shared" si="34"/>
        <v>27376.331929824566</v>
      </c>
      <c r="L104" s="330">
        <f t="shared" si="34"/>
        <v>53437.33157894737</v>
      </c>
      <c r="M104" s="398">
        <f t="shared" si="34"/>
        <v>31466.35340105263</v>
      </c>
      <c r="N104" s="330">
        <f t="shared" si="28"/>
        <v>84903.68</v>
      </c>
      <c r="O104" s="142"/>
      <c r="P104" s="142"/>
    </row>
    <row r="105" spans="1:16" ht="27" customHeight="1">
      <c r="A105" s="506"/>
      <c r="B105" s="506"/>
      <c r="C105" s="381" t="s">
        <v>8</v>
      </c>
      <c r="D105" s="535" t="s">
        <v>118</v>
      </c>
      <c r="E105" s="476"/>
      <c r="F105" s="390">
        <v>80</v>
      </c>
      <c r="G105" s="330"/>
      <c r="H105" s="380"/>
      <c r="I105" s="398"/>
      <c r="J105" s="380">
        <f aca="true" t="shared" si="35" ref="J105:L112">H105+I105</f>
        <v>0</v>
      </c>
      <c r="K105" s="398"/>
      <c r="L105" s="380">
        <f t="shared" si="35"/>
        <v>0</v>
      </c>
      <c r="M105" s="398"/>
      <c r="N105" s="330">
        <f t="shared" si="28"/>
        <v>0</v>
      </c>
      <c r="O105" s="142"/>
      <c r="P105" s="142"/>
    </row>
    <row r="106" spans="1:16" ht="27" customHeight="1">
      <c r="A106" s="506"/>
      <c r="B106" s="506"/>
      <c r="C106" s="381" t="s">
        <v>20</v>
      </c>
      <c r="D106" s="471" t="s">
        <v>119</v>
      </c>
      <c r="E106" s="476"/>
      <c r="F106" s="390">
        <v>81</v>
      </c>
      <c r="G106" s="330"/>
      <c r="H106" s="380"/>
      <c r="I106" s="398"/>
      <c r="J106" s="380">
        <f t="shared" si="35"/>
        <v>0</v>
      </c>
      <c r="K106" s="398"/>
      <c r="L106" s="380">
        <f t="shared" si="35"/>
        <v>0</v>
      </c>
      <c r="M106" s="398"/>
      <c r="N106" s="330">
        <f t="shared" si="28"/>
        <v>0</v>
      </c>
      <c r="O106" s="142"/>
      <c r="P106" s="142"/>
    </row>
    <row r="107" spans="1:16" ht="27" customHeight="1">
      <c r="A107" s="506"/>
      <c r="B107" s="506"/>
      <c r="C107" s="390" t="s">
        <v>22</v>
      </c>
      <c r="D107" s="471" t="s">
        <v>120</v>
      </c>
      <c r="E107" s="476"/>
      <c r="F107" s="390">
        <v>82</v>
      </c>
      <c r="G107" s="330"/>
      <c r="H107" s="380"/>
      <c r="I107" s="398"/>
      <c r="J107" s="380">
        <f t="shared" si="35"/>
        <v>0</v>
      </c>
      <c r="K107" s="398"/>
      <c r="L107" s="380">
        <f t="shared" si="35"/>
        <v>0</v>
      </c>
      <c r="M107" s="398"/>
      <c r="N107" s="330">
        <f t="shared" si="28"/>
        <v>0</v>
      </c>
      <c r="O107" s="142"/>
      <c r="P107" s="142"/>
    </row>
    <row r="108" spans="1:16" ht="27" customHeight="1">
      <c r="A108" s="506"/>
      <c r="B108" s="506"/>
      <c r="C108" s="390" t="s">
        <v>31</v>
      </c>
      <c r="D108" s="471" t="s">
        <v>121</v>
      </c>
      <c r="E108" s="476"/>
      <c r="F108" s="390">
        <v>83</v>
      </c>
      <c r="G108" s="330"/>
      <c r="H108" s="330"/>
      <c r="I108" s="398"/>
      <c r="J108" s="380">
        <f t="shared" si="35"/>
        <v>0</v>
      </c>
      <c r="K108" s="398"/>
      <c r="L108" s="380">
        <f t="shared" si="35"/>
        <v>0</v>
      </c>
      <c r="M108" s="398"/>
      <c r="N108" s="330">
        <f t="shared" si="28"/>
        <v>0</v>
      </c>
      <c r="O108" s="142"/>
      <c r="P108" s="142"/>
    </row>
    <row r="109" spans="1:16" ht="27" customHeight="1">
      <c r="A109" s="506"/>
      <c r="B109" s="506"/>
      <c r="C109" s="390" t="s">
        <v>33</v>
      </c>
      <c r="D109" s="471" t="s">
        <v>122</v>
      </c>
      <c r="E109" s="476"/>
      <c r="F109" s="390">
        <v>84</v>
      </c>
      <c r="G109" s="330"/>
      <c r="H109" s="330"/>
      <c r="I109" s="398"/>
      <c r="J109" s="380">
        <f t="shared" si="35"/>
        <v>0</v>
      </c>
      <c r="K109" s="398"/>
      <c r="L109" s="380">
        <f t="shared" si="35"/>
        <v>0</v>
      </c>
      <c r="M109" s="398"/>
      <c r="N109" s="330">
        <f t="shared" si="28"/>
        <v>0</v>
      </c>
      <c r="O109" s="142"/>
      <c r="P109" s="142"/>
    </row>
    <row r="110" spans="1:16" ht="27" customHeight="1">
      <c r="A110" s="506"/>
      <c r="B110" s="506"/>
      <c r="C110" s="390" t="s">
        <v>35</v>
      </c>
      <c r="D110" s="471" t="s">
        <v>504</v>
      </c>
      <c r="E110" s="476"/>
      <c r="F110" s="390">
        <v>85</v>
      </c>
      <c r="G110" s="330">
        <f>'Anexa 2'!J110</f>
        <v>84903.68</v>
      </c>
      <c r="H110" s="380">
        <v>11018</v>
      </c>
      <c r="I110" s="398">
        <f>11018+I111+I112</f>
        <v>15042.999649122808</v>
      </c>
      <c r="J110" s="380">
        <f t="shared" si="35"/>
        <v>26060.99964912281</v>
      </c>
      <c r="K110" s="398">
        <f>11018+K111+K112</f>
        <v>27376.331929824566</v>
      </c>
      <c r="L110" s="380">
        <f t="shared" si="35"/>
        <v>53437.33157894737</v>
      </c>
      <c r="M110" s="398">
        <f>11018+M111+M112+3600-1.65</f>
        <v>31466.35340105263</v>
      </c>
      <c r="N110" s="330">
        <f t="shared" si="28"/>
        <v>84903.68</v>
      </c>
      <c r="O110" s="142"/>
      <c r="P110" s="142"/>
    </row>
    <row r="111" spans="1:16" ht="27" customHeight="1">
      <c r="A111" s="506"/>
      <c r="B111" s="506"/>
      <c r="C111" s="390"/>
      <c r="D111" s="471" t="s">
        <v>535</v>
      </c>
      <c r="E111" s="536"/>
      <c r="F111" s="390" t="s">
        <v>519</v>
      </c>
      <c r="G111" s="330">
        <f>'Anexa 2'!J111</f>
        <v>25000</v>
      </c>
      <c r="H111" s="380">
        <v>0</v>
      </c>
      <c r="I111" s="398">
        <f>I29-I54-I65</f>
        <v>2358.333333333334</v>
      </c>
      <c r="J111" s="380">
        <f t="shared" si="35"/>
        <v>2358.333333333334</v>
      </c>
      <c r="K111" s="398">
        <f>K29-K54-K65</f>
        <v>9691.666666666672</v>
      </c>
      <c r="L111" s="380">
        <f t="shared" si="35"/>
        <v>12050.000000000005</v>
      </c>
      <c r="M111" s="398">
        <f>M29-M54-M65</f>
        <v>9350.004979999998</v>
      </c>
      <c r="N111" s="330">
        <f t="shared" si="28"/>
        <v>25000</v>
      </c>
      <c r="O111" s="142"/>
      <c r="P111" s="142"/>
    </row>
    <row r="112" spans="1:16" ht="27" customHeight="1">
      <c r="A112" s="506"/>
      <c r="B112" s="506"/>
      <c r="C112" s="390"/>
      <c r="D112" s="471" t="s">
        <v>536</v>
      </c>
      <c r="E112" s="536"/>
      <c r="F112" s="390" t="s">
        <v>537</v>
      </c>
      <c r="G112" s="330">
        <f>'Anexa 2'!J112</f>
        <v>15833.33</v>
      </c>
      <c r="H112" s="380">
        <v>0</v>
      </c>
      <c r="I112" s="398">
        <f>10000-I55-I66</f>
        <v>1666.6663157894736</v>
      </c>
      <c r="J112" s="380">
        <f t="shared" si="35"/>
        <v>1666.6663157894736</v>
      </c>
      <c r="K112" s="398">
        <f>40000-K55-K66</f>
        <v>6666.6652631578945</v>
      </c>
      <c r="L112" s="380">
        <f t="shared" si="35"/>
        <v>8333.331578947367</v>
      </c>
      <c r="M112" s="398">
        <f>45000-M55-M66</f>
        <v>7499.9984210526345</v>
      </c>
      <c r="N112" s="330">
        <f t="shared" si="28"/>
        <v>15833.33</v>
      </c>
      <c r="O112" s="142"/>
      <c r="P112" s="142"/>
    </row>
    <row r="113" spans="1:16" ht="27" customHeight="1">
      <c r="A113" s="506"/>
      <c r="B113" s="506"/>
      <c r="C113" s="471" t="s">
        <v>208</v>
      </c>
      <c r="D113" s="471"/>
      <c r="E113" s="471"/>
      <c r="F113" s="390">
        <v>86</v>
      </c>
      <c r="G113" s="330">
        <f aca="true" t="shared" si="36" ref="G113:M113">G115+G119+G127+G131+G140</f>
        <v>1011700.21</v>
      </c>
      <c r="H113" s="330">
        <f t="shared" si="36"/>
        <v>254610.07629328337</v>
      </c>
      <c r="I113" s="398">
        <f t="shared" si="36"/>
        <v>252997.79068019998</v>
      </c>
      <c r="J113" s="330">
        <f t="shared" si="36"/>
        <v>507607.86697348335</v>
      </c>
      <c r="K113" s="398">
        <f t="shared" si="36"/>
        <v>254214.63021950002</v>
      </c>
      <c r="L113" s="330">
        <f t="shared" si="36"/>
        <v>761822.4971929834</v>
      </c>
      <c r="M113" s="398">
        <f t="shared" si="36"/>
        <v>249877.71706939998</v>
      </c>
      <c r="N113" s="330">
        <f t="shared" si="28"/>
        <v>1011700.21</v>
      </c>
      <c r="O113" s="142"/>
      <c r="P113" s="142"/>
    </row>
    <row r="114" spans="1:16" ht="27.75" customHeight="1">
      <c r="A114" s="506"/>
      <c r="B114" s="506"/>
      <c r="C114" s="391" t="s">
        <v>176</v>
      </c>
      <c r="D114" s="471" t="s">
        <v>209</v>
      </c>
      <c r="E114" s="471"/>
      <c r="F114" s="390">
        <v>87</v>
      </c>
      <c r="G114" s="330">
        <f aca="true" t="shared" si="37" ref="G114:M114">G115+G119</f>
        <v>833065.55</v>
      </c>
      <c r="H114" s="330">
        <f t="shared" si="37"/>
        <v>210439.13083333336</v>
      </c>
      <c r="I114" s="398">
        <f t="shared" si="37"/>
        <v>208339.58</v>
      </c>
      <c r="J114" s="330">
        <f t="shared" si="37"/>
        <v>418778.7108333333</v>
      </c>
      <c r="K114" s="398">
        <f t="shared" si="37"/>
        <v>209312.79</v>
      </c>
      <c r="L114" s="330">
        <f t="shared" si="37"/>
        <v>628091.5008333334</v>
      </c>
      <c r="M114" s="398">
        <f t="shared" si="37"/>
        <v>204974.05</v>
      </c>
      <c r="N114" s="330">
        <f t="shared" si="28"/>
        <v>833065.55</v>
      </c>
      <c r="O114" s="142"/>
      <c r="P114" s="142"/>
    </row>
    <row r="115" spans="1:33" ht="27" customHeight="1">
      <c r="A115" s="506"/>
      <c r="B115" s="506"/>
      <c r="C115" s="381" t="s">
        <v>123</v>
      </c>
      <c r="D115" s="471" t="s">
        <v>124</v>
      </c>
      <c r="E115" s="471"/>
      <c r="F115" s="390">
        <v>88</v>
      </c>
      <c r="G115" s="330">
        <f aca="true" t="shared" si="38" ref="G115:M115">G116+G117+G118</f>
        <v>745128.28</v>
      </c>
      <c r="H115" s="330">
        <f t="shared" si="38"/>
        <v>184235.64</v>
      </c>
      <c r="I115" s="398">
        <f t="shared" si="38"/>
        <v>186282.06</v>
      </c>
      <c r="J115" s="330">
        <f t="shared" si="38"/>
        <v>370517.69999999995</v>
      </c>
      <c r="K115" s="398">
        <f t="shared" si="38"/>
        <v>187305.27000000002</v>
      </c>
      <c r="L115" s="330">
        <f t="shared" si="38"/>
        <v>557822.97</v>
      </c>
      <c r="M115" s="398">
        <f t="shared" si="38"/>
        <v>187305.31</v>
      </c>
      <c r="N115" s="330">
        <f t="shared" si="28"/>
        <v>745128.28</v>
      </c>
      <c r="O115" s="142"/>
      <c r="P115" s="142"/>
      <c r="AG115" s="142" t="s">
        <v>621</v>
      </c>
    </row>
    <row r="116" spans="1:33" ht="27" customHeight="1">
      <c r="A116" s="506"/>
      <c r="B116" s="506"/>
      <c r="C116" s="506"/>
      <c r="D116" s="471" t="s">
        <v>125</v>
      </c>
      <c r="E116" s="471"/>
      <c r="F116" s="390">
        <v>89</v>
      </c>
      <c r="G116" s="330">
        <f>'Anexa 2'!J116</f>
        <v>476165.03</v>
      </c>
      <c r="H116" s="330">
        <f>G116/G115*184235.64</f>
        <v>117733.51166817773</v>
      </c>
      <c r="I116" s="398">
        <f>H116+1307.74</f>
        <v>119041.25166817773</v>
      </c>
      <c r="J116" s="380">
        <f aca="true" t="shared" si="39" ref="J116:L118">H116+I116</f>
        <v>236774.76333635545</v>
      </c>
      <c r="K116" s="398">
        <f>H116+1961.61</f>
        <v>119695.12166817773</v>
      </c>
      <c r="L116" s="380">
        <f t="shared" si="39"/>
        <v>356469.88500453316</v>
      </c>
      <c r="M116" s="398">
        <f>K116+0.02</f>
        <v>119695.14166817773</v>
      </c>
      <c r="N116" s="330">
        <f t="shared" si="28"/>
        <v>476165.03</v>
      </c>
      <c r="O116" s="142"/>
      <c r="P116" s="142"/>
      <c r="AG116" s="142" t="s">
        <v>622</v>
      </c>
    </row>
    <row r="117" spans="1:33" ht="27" customHeight="1">
      <c r="A117" s="506"/>
      <c r="B117" s="506"/>
      <c r="C117" s="506"/>
      <c r="D117" s="471" t="s">
        <v>126</v>
      </c>
      <c r="E117" s="471"/>
      <c r="F117" s="390">
        <v>90</v>
      </c>
      <c r="G117" s="330">
        <f>'Anexa 2'!J117</f>
        <v>268963.25</v>
      </c>
      <c r="H117" s="330">
        <f>G117/G115*184235.64</f>
        <v>66502.12833182227</v>
      </c>
      <c r="I117" s="398">
        <f>H117+738.68</f>
        <v>67240.80833182226</v>
      </c>
      <c r="J117" s="380">
        <f t="shared" si="39"/>
        <v>133742.93666364453</v>
      </c>
      <c r="K117" s="398">
        <f>H117+1108.02</f>
        <v>67610.14833182227</v>
      </c>
      <c r="L117" s="380">
        <f t="shared" si="39"/>
        <v>201353.0849954668</v>
      </c>
      <c r="M117" s="398">
        <f>K117+0.02</f>
        <v>67610.16833182228</v>
      </c>
      <c r="N117" s="330">
        <f t="shared" si="28"/>
        <v>268963.25</v>
      </c>
      <c r="O117" s="142"/>
      <c r="P117" s="142"/>
      <c r="AG117" s="142">
        <v>184235.64</v>
      </c>
    </row>
    <row r="118" spans="1:33" ht="27" customHeight="1">
      <c r="A118" s="506"/>
      <c r="B118" s="506"/>
      <c r="C118" s="506"/>
      <c r="D118" s="471" t="s">
        <v>127</v>
      </c>
      <c r="E118" s="471"/>
      <c r="F118" s="390">
        <v>91</v>
      </c>
      <c r="G118" s="330">
        <f>'Anexa 2'!J118</f>
        <v>0</v>
      </c>
      <c r="H118" s="330"/>
      <c r="I118" s="398"/>
      <c r="J118" s="380">
        <f t="shared" si="39"/>
        <v>0</v>
      </c>
      <c r="K118" s="398"/>
      <c r="L118" s="380">
        <f t="shared" si="39"/>
        <v>0</v>
      </c>
      <c r="M118" s="398"/>
      <c r="N118" s="330">
        <f t="shared" si="28"/>
        <v>0</v>
      </c>
      <c r="O118" s="142"/>
      <c r="P118" s="142"/>
      <c r="AG118" s="142" t="s">
        <v>623</v>
      </c>
    </row>
    <row r="119" spans="1:33" ht="27" customHeight="1">
      <c r="A119" s="506"/>
      <c r="B119" s="506"/>
      <c r="C119" s="390" t="s">
        <v>128</v>
      </c>
      <c r="D119" s="471" t="s">
        <v>129</v>
      </c>
      <c r="E119" s="471"/>
      <c r="F119" s="390">
        <v>92</v>
      </c>
      <c r="G119" s="330">
        <f aca="true" t="shared" si="40" ref="G119:M119">G120+G123+G124+G125+G126</f>
        <v>87937.27</v>
      </c>
      <c r="H119" s="330">
        <f t="shared" si="40"/>
        <v>26203.490833333333</v>
      </c>
      <c r="I119" s="398">
        <f t="shared" si="40"/>
        <v>22057.52</v>
      </c>
      <c r="J119" s="330">
        <f t="shared" si="40"/>
        <v>48261.010833333334</v>
      </c>
      <c r="K119" s="398">
        <f t="shared" si="40"/>
        <v>22007.52</v>
      </c>
      <c r="L119" s="330">
        <f t="shared" si="40"/>
        <v>70268.53083333334</v>
      </c>
      <c r="M119" s="398">
        <f t="shared" si="40"/>
        <v>17668.739999999998</v>
      </c>
      <c r="N119" s="330">
        <f t="shared" si="28"/>
        <v>87937.27</v>
      </c>
      <c r="O119" s="142"/>
      <c r="P119" s="142"/>
      <c r="AG119" s="142" t="s">
        <v>624</v>
      </c>
    </row>
    <row r="120" spans="1:34" ht="27" customHeight="1">
      <c r="A120" s="506"/>
      <c r="B120" s="506"/>
      <c r="C120" s="390"/>
      <c r="D120" s="471" t="s">
        <v>130</v>
      </c>
      <c r="E120" s="471"/>
      <c r="F120" s="390">
        <v>93</v>
      </c>
      <c r="G120" s="330">
        <f>'Anexa 2'!J120</f>
        <v>37307.19</v>
      </c>
      <c r="H120" s="380">
        <f>G120/4</f>
        <v>9326.7975</v>
      </c>
      <c r="I120" s="398">
        <v>9400</v>
      </c>
      <c r="J120" s="380">
        <f aca="true" t="shared" si="41" ref="J120:L126">H120+I120</f>
        <v>18726.7975</v>
      </c>
      <c r="K120" s="398">
        <v>9350</v>
      </c>
      <c r="L120" s="380">
        <f t="shared" si="41"/>
        <v>28076.7975</v>
      </c>
      <c r="M120" s="398">
        <v>9230.39</v>
      </c>
      <c r="N120" s="330">
        <f t="shared" si="28"/>
        <v>37307.19</v>
      </c>
      <c r="O120" s="142"/>
      <c r="P120" s="142"/>
      <c r="AG120" s="142">
        <f>G116/G115</f>
        <v>0.6390376567106002</v>
      </c>
      <c r="AH120" s="142" t="s">
        <v>625</v>
      </c>
    </row>
    <row r="121" spans="1:34" ht="27" customHeight="1">
      <c r="A121" s="506"/>
      <c r="B121" s="506"/>
      <c r="C121" s="390"/>
      <c r="D121" s="391"/>
      <c r="E121" s="391" t="s">
        <v>131</v>
      </c>
      <c r="F121" s="390">
        <v>94</v>
      </c>
      <c r="G121" s="330">
        <f>'Anexa 2'!J121</f>
        <v>0</v>
      </c>
      <c r="H121" s="380"/>
      <c r="I121" s="398"/>
      <c r="J121" s="380">
        <f t="shared" si="41"/>
        <v>0</v>
      </c>
      <c r="K121" s="398"/>
      <c r="L121" s="380">
        <f t="shared" si="41"/>
        <v>0</v>
      </c>
      <c r="M121" s="398"/>
      <c r="N121" s="330">
        <f t="shared" si="28"/>
        <v>0</v>
      </c>
      <c r="O121" s="142"/>
      <c r="P121" s="142"/>
      <c r="AG121" s="142">
        <f>100-AG120*100</f>
        <v>36.09623432893998</v>
      </c>
      <c r="AH121" s="142" t="s">
        <v>626</v>
      </c>
    </row>
    <row r="122" spans="1:34" ht="27" customHeight="1">
      <c r="A122" s="506"/>
      <c r="B122" s="506"/>
      <c r="C122" s="390"/>
      <c r="D122" s="391"/>
      <c r="E122" s="391" t="s">
        <v>132</v>
      </c>
      <c r="F122" s="390">
        <v>95</v>
      </c>
      <c r="G122" s="330">
        <f>'Anexa 2'!J122</f>
        <v>0</v>
      </c>
      <c r="H122" s="380"/>
      <c r="I122" s="398"/>
      <c r="J122" s="380">
        <f t="shared" si="41"/>
        <v>0</v>
      </c>
      <c r="K122" s="398"/>
      <c r="L122" s="380">
        <f t="shared" si="41"/>
        <v>0</v>
      </c>
      <c r="M122" s="398"/>
      <c r="N122" s="330">
        <f t="shared" si="28"/>
        <v>0</v>
      </c>
      <c r="O122" s="142"/>
      <c r="P122" s="142"/>
      <c r="AG122" s="153">
        <f>AG120*1023.21</f>
        <v>653.8697207228532</v>
      </c>
      <c r="AH122" s="142" t="s">
        <v>629</v>
      </c>
    </row>
    <row r="123" spans="1:34" ht="27" customHeight="1">
      <c r="A123" s="506"/>
      <c r="B123" s="506"/>
      <c r="C123" s="390"/>
      <c r="D123" s="471" t="s">
        <v>133</v>
      </c>
      <c r="E123" s="471"/>
      <c r="F123" s="390">
        <v>96</v>
      </c>
      <c r="G123" s="330">
        <f>'Anexa 2'!J123</f>
        <v>50630.08</v>
      </c>
      <c r="H123" s="380">
        <f>G123/12*4</f>
        <v>16876.693333333333</v>
      </c>
      <c r="I123" s="398">
        <f>G123/12*3</f>
        <v>12657.52</v>
      </c>
      <c r="J123" s="380">
        <f t="shared" si="41"/>
        <v>29534.213333333333</v>
      </c>
      <c r="K123" s="398">
        <f>I123</f>
        <v>12657.52</v>
      </c>
      <c r="L123" s="380">
        <f t="shared" si="41"/>
        <v>42191.73333333334</v>
      </c>
      <c r="M123" s="398">
        <v>8438.35</v>
      </c>
      <c r="N123" s="330">
        <f t="shared" si="28"/>
        <v>50630.08</v>
      </c>
      <c r="O123" s="142"/>
      <c r="P123" s="142"/>
      <c r="AG123" s="374">
        <f>AG122*2</f>
        <v>1307.7394414457065</v>
      </c>
      <c r="AH123" s="142" t="s">
        <v>627</v>
      </c>
    </row>
    <row r="124" spans="1:34" ht="27" customHeight="1">
      <c r="A124" s="506"/>
      <c r="B124" s="506"/>
      <c r="C124" s="390"/>
      <c r="D124" s="471" t="s">
        <v>134</v>
      </c>
      <c r="E124" s="471"/>
      <c r="F124" s="390">
        <v>97</v>
      </c>
      <c r="G124" s="330">
        <f>'Anexa 2'!J124</f>
        <v>0</v>
      </c>
      <c r="H124" s="380"/>
      <c r="I124" s="398"/>
      <c r="J124" s="380">
        <f t="shared" si="41"/>
        <v>0</v>
      </c>
      <c r="K124" s="398"/>
      <c r="L124" s="380">
        <f t="shared" si="41"/>
        <v>0</v>
      </c>
      <c r="M124" s="398"/>
      <c r="N124" s="330">
        <f t="shared" si="28"/>
        <v>0</v>
      </c>
      <c r="O124" s="142"/>
      <c r="P124" s="142"/>
      <c r="AG124" s="374">
        <f>1023.21*2-AG123</f>
        <v>738.6805585542936</v>
      </c>
      <c r="AH124" s="142" t="s">
        <v>628</v>
      </c>
    </row>
    <row r="125" spans="1:35" ht="27" customHeight="1">
      <c r="A125" s="506"/>
      <c r="B125" s="506"/>
      <c r="C125" s="390"/>
      <c r="D125" s="471" t="s">
        <v>135</v>
      </c>
      <c r="E125" s="471"/>
      <c r="F125" s="390">
        <v>98</v>
      </c>
      <c r="G125" s="330">
        <f>'Anexa 2'!J125</f>
        <v>0</v>
      </c>
      <c r="H125" s="380"/>
      <c r="I125" s="398"/>
      <c r="J125" s="380">
        <f t="shared" si="41"/>
        <v>0</v>
      </c>
      <c r="K125" s="398"/>
      <c r="L125" s="380">
        <f t="shared" si="41"/>
        <v>0</v>
      </c>
      <c r="M125" s="398"/>
      <c r="N125" s="330">
        <f t="shared" si="28"/>
        <v>0</v>
      </c>
      <c r="O125" s="142"/>
      <c r="P125" s="142"/>
      <c r="AG125" s="375">
        <f>AG123+AG124</f>
        <v>2046.42</v>
      </c>
      <c r="AH125" s="376" t="s">
        <v>630</v>
      </c>
      <c r="AI125" s="376"/>
    </row>
    <row r="126" spans="1:16" ht="27" customHeight="1">
      <c r="A126" s="506"/>
      <c r="B126" s="506"/>
      <c r="C126" s="390"/>
      <c r="D126" s="471" t="s">
        <v>136</v>
      </c>
      <c r="E126" s="471"/>
      <c r="F126" s="390">
        <v>99</v>
      </c>
      <c r="G126" s="330">
        <f>'Anexa 2'!J126</f>
        <v>0</v>
      </c>
      <c r="H126" s="380"/>
      <c r="I126" s="398"/>
      <c r="J126" s="380">
        <f t="shared" si="41"/>
        <v>0</v>
      </c>
      <c r="K126" s="398"/>
      <c r="L126" s="380">
        <f t="shared" si="41"/>
        <v>0</v>
      </c>
      <c r="M126" s="398"/>
      <c r="N126" s="330">
        <f t="shared" si="28"/>
        <v>0</v>
      </c>
      <c r="O126" s="142"/>
      <c r="P126" s="142"/>
    </row>
    <row r="127" spans="1:16" ht="27" customHeight="1">
      <c r="A127" s="506"/>
      <c r="B127" s="506"/>
      <c r="C127" s="390" t="s">
        <v>137</v>
      </c>
      <c r="D127" s="471" t="s">
        <v>138</v>
      </c>
      <c r="E127" s="471"/>
      <c r="F127" s="390">
        <v>100</v>
      </c>
      <c r="G127" s="330">
        <f aca="true" t="shared" si="42" ref="G127:M127">G128+G129+G130</f>
        <v>0</v>
      </c>
      <c r="H127" s="330">
        <f t="shared" si="42"/>
        <v>0</v>
      </c>
      <c r="I127" s="398">
        <f t="shared" si="42"/>
        <v>0</v>
      </c>
      <c r="J127" s="330">
        <f t="shared" si="42"/>
        <v>0</v>
      </c>
      <c r="K127" s="398">
        <f t="shared" si="42"/>
        <v>0</v>
      </c>
      <c r="L127" s="330">
        <f t="shared" si="42"/>
        <v>0</v>
      </c>
      <c r="M127" s="398">
        <f t="shared" si="42"/>
        <v>0</v>
      </c>
      <c r="N127" s="330">
        <f t="shared" si="28"/>
        <v>0</v>
      </c>
      <c r="O127" s="142"/>
      <c r="P127" s="142"/>
    </row>
    <row r="128" spans="1:16" ht="28.5" customHeight="1">
      <c r="A128" s="506"/>
      <c r="B128" s="506"/>
      <c r="C128" s="390"/>
      <c r="D128" s="471" t="s">
        <v>210</v>
      </c>
      <c r="E128" s="471"/>
      <c r="F128" s="390">
        <v>101</v>
      </c>
      <c r="G128" s="330">
        <f>'Anexa 2'!J128</f>
        <v>0</v>
      </c>
      <c r="H128" s="380"/>
      <c r="I128" s="398"/>
      <c r="J128" s="380">
        <f aca="true" t="shared" si="43" ref="J128:L130">H128+I128</f>
        <v>0</v>
      </c>
      <c r="K128" s="398"/>
      <c r="L128" s="380">
        <f t="shared" si="43"/>
        <v>0</v>
      </c>
      <c r="M128" s="398"/>
      <c r="N128" s="330">
        <f t="shared" si="28"/>
        <v>0</v>
      </c>
      <c r="O128" s="142"/>
      <c r="P128" s="142"/>
    </row>
    <row r="129" spans="1:16" ht="27" customHeight="1">
      <c r="A129" s="506"/>
      <c r="B129" s="506"/>
      <c r="C129" s="390"/>
      <c r="D129" s="471" t="s">
        <v>139</v>
      </c>
      <c r="E129" s="471"/>
      <c r="F129" s="390">
        <v>102</v>
      </c>
      <c r="G129" s="330">
        <f>'Anexa 2'!J129</f>
        <v>0</v>
      </c>
      <c r="H129" s="380"/>
      <c r="I129" s="398"/>
      <c r="J129" s="380">
        <f t="shared" si="43"/>
        <v>0</v>
      </c>
      <c r="K129" s="398"/>
      <c r="L129" s="380">
        <f t="shared" si="43"/>
        <v>0</v>
      </c>
      <c r="M129" s="398"/>
      <c r="N129" s="330">
        <f t="shared" si="28"/>
        <v>0</v>
      </c>
      <c r="O129" s="142"/>
      <c r="P129" s="142"/>
    </row>
    <row r="130" spans="1:16" ht="27" customHeight="1">
      <c r="A130" s="506"/>
      <c r="B130" s="506"/>
      <c r="C130" s="390"/>
      <c r="D130" s="471" t="s">
        <v>140</v>
      </c>
      <c r="E130" s="471"/>
      <c r="F130" s="390">
        <v>103</v>
      </c>
      <c r="G130" s="330">
        <f>'Anexa 2'!J130</f>
        <v>0</v>
      </c>
      <c r="H130" s="380"/>
      <c r="I130" s="398"/>
      <c r="J130" s="380">
        <f t="shared" si="43"/>
        <v>0</v>
      </c>
      <c r="K130" s="398"/>
      <c r="L130" s="380">
        <f t="shared" si="43"/>
        <v>0</v>
      </c>
      <c r="M130" s="398"/>
      <c r="N130" s="330">
        <f t="shared" si="28"/>
        <v>0</v>
      </c>
      <c r="O130" s="142"/>
      <c r="P130" s="142"/>
    </row>
    <row r="131" spans="1:16" ht="27" customHeight="1">
      <c r="A131" s="506"/>
      <c r="B131" s="506"/>
      <c r="C131" s="381" t="s">
        <v>141</v>
      </c>
      <c r="D131" s="471" t="s">
        <v>211</v>
      </c>
      <c r="E131" s="471"/>
      <c r="F131" s="390">
        <v>104</v>
      </c>
      <c r="G131" s="330">
        <f aca="true" t="shared" si="44" ref="G131:M131">G132+G135+G138+G139</f>
        <v>1015.5</v>
      </c>
      <c r="H131" s="330">
        <f t="shared" si="44"/>
        <v>253.875</v>
      </c>
      <c r="I131" s="398">
        <f t="shared" si="44"/>
        <v>253.88</v>
      </c>
      <c r="J131" s="330">
        <f t="shared" si="44"/>
        <v>507.755</v>
      </c>
      <c r="K131" s="398">
        <f t="shared" si="44"/>
        <v>253.88</v>
      </c>
      <c r="L131" s="330">
        <f t="shared" si="44"/>
        <v>761.635</v>
      </c>
      <c r="M131" s="398">
        <f t="shared" si="44"/>
        <v>253.87</v>
      </c>
      <c r="N131" s="330">
        <f t="shared" si="28"/>
        <v>1015.5</v>
      </c>
      <c r="O131" s="142"/>
      <c r="P131" s="142"/>
    </row>
    <row r="132" spans="1:16" ht="27" customHeight="1">
      <c r="A132" s="506"/>
      <c r="B132" s="506"/>
      <c r="C132" s="506"/>
      <c r="D132" s="471" t="s">
        <v>142</v>
      </c>
      <c r="E132" s="471"/>
      <c r="F132" s="390">
        <v>105</v>
      </c>
      <c r="G132" s="330">
        <f aca="true" t="shared" si="45" ref="G132:M132">G133+G134</f>
        <v>264.53</v>
      </c>
      <c r="H132" s="330">
        <f t="shared" si="45"/>
        <v>66.1325</v>
      </c>
      <c r="I132" s="398">
        <f t="shared" si="45"/>
        <v>66.13</v>
      </c>
      <c r="J132" s="330">
        <f t="shared" si="45"/>
        <v>132.2625</v>
      </c>
      <c r="K132" s="398">
        <f t="shared" si="45"/>
        <v>66.13</v>
      </c>
      <c r="L132" s="330">
        <f t="shared" si="45"/>
        <v>198.39249999999998</v>
      </c>
      <c r="M132" s="398">
        <f t="shared" si="45"/>
        <v>66.14</v>
      </c>
      <c r="N132" s="330">
        <f t="shared" si="28"/>
        <v>264.53</v>
      </c>
      <c r="O132" s="142"/>
      <c r="P132" s="142"/>
    </row>
    <row r="133" spans="1:16" ht="27" customHeight="1">
      <c r="A133" s="506"/>
      <c r="B133" s="506"/>
      <c r="C133" s="506"/>
      <c r="D133" s="391"/>
      <c r="E133" s="391" t="s">
        <v>212</v>
      </c>
      <c r="F133" s="390">
        <v>106</v>
      </c>
      <c r="G133" s="330">
        <f>'Anexa 2'!J133</f>
        <v>264.53</v>
      </c>
      <c r="H133" s="380">
        <f>G133/4</f>
        <v>66.1325</v>
      </c>
      <c r="I133" s="398">
        <v>66.13</v>
      </c>
      <c r="J133" s="380">
        <f aca="true" t="shared" si="46" ref="J133:L134">H133+I133</f>
        <v>132.2625</v>
      </c>
      <c r="K133" s="398">
        <v>66.13</v>
      </c>
      <c r="L133" s="380">
        <f t="shared" si="46"/>
        <v>198.39249999999998</v>
      </c>
      <c r="M133" s="398">
        <v>66.14</v>
      </c>
      <c r="N133" s="330">
        <f t="shared" si="28"/>
        <v>264.53</v>
      </c>
      <c r="O133" s="142"/>
      <c r="P133" s="142"/>
    </row>
    <row r="134" spans="1:16" ht="27" customHeight="1">
      <c r="A134" s="506"/>
      <c r="B134" s="506"/>
      <c r="C134" s="506"/>
      <c r="D134" s="391"/>
      <c r="E134" s="391" t="s">
        <v>213</v>
      </c>
      <c r="F134" s="390">
        <v>107</v>
      </c>
      <c r="G134" s="330">
        <f>'Anexa 2'!J134</f>
        <v>0</v>
      </c>
      <c r="H134" s="380"/>
      <c r="I134" s="398"/>
      <c r="J134" s="380">
        <f t="shared" si="46"/>
        <v>0</v>
      </c>
      <c r="K134" s="398"/>
      <c r="L134" s="380">
        <f t="shared" si="46"/>
        <v>0</v>
      </c>
      <c r="M134" s="398"/>
      <c r="N134" s="330">
        <f t="shared" si="28"/>
        <v>0</v>
      </c>
      <c r="O134" s="142"/>
      <c r="P134" s="142"/>
    </row>
    <row r="135" spans="1:16" ht="30" customHeight="1">
      <c r="A135" s="506"/>
      <c r="B135" s="506"/>
      <c r="C135" s="506"/>
      <c r="D135" s="472" t="s">
        <v>214</v>
      </c>
      <c r="E135" s="472"/>
      <c r="F135" s="390">
        <v>108</v>
      </c>
      <c r="G135" s="330">
        <f aca="true" t="shared" si="47" ref="G135:M135">G136+G137</f>
        <v>273.35</v>
      </c>
      <c r="H135" s="330">
        <f t="shared" si="47"/>
        <v>68.3375</v>
      </c>
      <c r="I135" s="398">
        <f t="shared" si="47"/>
        <v>68.34</v>
      </c>
      <c r="J135" s="330">
        <f t="shared" si="47"/>
        <v>136.6775</v>
      </c>
      <c r="K135" s="398">
        <f t="shared" si="47"/>
        <v>68.34</v>
      </c>
      <c r="L135" s="330">
        <f t="shared" si="47"/>
        <v>205.0175</v>
      </c>
      <c r="M135" s="398">
        <f t="shared" si="47"/>
        <v>68.33</v>
      </c>
      <c r="N135" s="330">
        <f t="shared" si="28"/>
        <v>273.35</v>
      </c>
      <c r="O135" s="142"/>
      <c r="P135" s="142"/>
    </row>
    <row r="136" spans="1:16" ht="27" customHeight="1">
      <c r="A136" s="506"/>
      <c r="B136" s="506"/>
      <c r="C136" s="506"/>
      <c r="D136" s="404"/>
      <c r="E136" s="391" t="s">
        <v>212</v>
      </c>
      <c r="F136" s="390">
        <v>109</v>
      </c>
      <c r="G136" s="330">
        <f>'Anexa 2'!J136</f>
        <v>273.35</v>
      </c>
      <c r="H136" s="380">
        <f>G136/4</f>
        <v>68.3375</v>
      </c>
      <c r="I136" s="398">
        <v>68.34</v>
      </c>
      <c r="J136" s="380">
        <f aca="true" t="shared" si="48" ref="J136:L139">H136+I136</f>
        <v>136.6775</v>
      </c>
      <c r="K136" s="398">
        <v>68.34</v>
      </c>
      <c r="L136" s="380">
        <f t="shared" si="48"/>
        <v>205.0175</v>
      </c>
      <c r="M136" s="398">
        <v>68.33</v>
      </c>
      <c r="N136" s="330">
        <f t="shared" si="28"/>
        <v>273.35</v>
      </c>
      <c r="O136" s="142"/>
      <c r="P136" s="142"/>
    </row>
    <row r="137" spans="1:16" ht="27" customHeight="1">
      <c r="A137" s="506"/>
      <c r="B137" s="506"/>
      <c r="C137" s="506"/>
      <c r="D137" s="404"/>
      <c r="E137" s="391" t="s">
        <v>213</v>
      </c>
      <c r="F137" s="390">
        <v>110</v>
      </c>
      <c r="G137" s="330">
        <f>'Anexa 2'!J137</f>
        <v>0</v>
      </c>
      <c r="H137" s="380"/>
      <c r="I137" s="398"/>
      <c r="J137" s="380">
        <f t="shared" si="48"/>
        <v>0</v>
      </c>
      <c r="K137" s="398"/>
      <c r="L137" s="380">
        <f t="shared" si="48"/>
        <v>0</v>
      </c>
      <c r="M137" s="398"/>
      <c r="N137" s="330">
        <f t="shared" si="28"/>
        <v>0</v>
      </c>
      <c r="O137" s="142"/>
      <c r="P137" s="142"/>
    </row>
    <row r="138" spans="1:16" ht="27" customHeight="1">
      <c r="A138" s="506"/>
      <c r="B138" s="506"/>
      <c r="C138" s="506"/>
      <c r="D138" s="471" t="s">
        <v>215</v>
      </c>
      <c r="E138" s="471"/>
      <c r="F138" s="390">
        <v>111</v>
      </c>
      <c r="G138" s="330">
        <f>'Anexa 2'!J138</f>
        <v>330.66</v>
      </c>
      <c r="H138" s="380">
        <f>G138/4</f>
        <v>82.665</v>
      </c>
      <c r="I138" s="398">
        <v>82.67</v>
      </c>
      <c r="J138" s="380">
        <f t="shared" si="48"/>
        <v>165.335</v>
      </c>
      <c r="K138" s="398">
        <v>82.67</v>
      </c>
      <c r="L138" s="380">
        <f t="shared" si="48"/>
        <v>248.005</v>
      </c>
      <c r="M138" s="398">
        <v>82.66</v>
      </c>
      <c r="N138" s="330">
        <f t="shared" si="28"/>
        <v>330.66</v>
      </c>
      <c r="O138" s="142"/>
      <c r="P138" s="142"/>
    </row>
    <row r="139" spans="1:16" ht="27" customHeight="1">
      <c r="A139" s="506"/>
      <c r="B139" s="506"/>
      <c r="C139" s="390"/>
      <c r="D139" s="471" t="s">
        <v>143</v>
      </c>
      <c r="E139" s="471"/>
      <c r="F139" s="390">
        <v>112</v>
      </c>
      <c r="G139" s="330">
        <f>'Anexa 2'!J139</f>
        <v>146.96</v>
      </c>
      <c r="H139" s="380">
        <f>G139/4</f>
        <v>36.74</v>
      </c>
      <c r="I139" s="398">
        <v>36.74</v>
      </c>
      <c r="J139" s="380">
        <f t="shared" si="48"/>
        <v>73.48</v>
      </c>
      <c r="K139" s="398">
        <v>36.74</v>
      </c>
      <c r="L139" s="380">
        <f t="shared" si="48"/>
        <v>110.22</v>
      </c>
      <c r="M139" s="398">
        <v>36.74</v>
      </c>
      <c r="N139" s="330">
        <f t="shared" si="28"/>
        <v>146.96</v>
      </c>
      <c r="O139" s="142"/>
      <c r="P139" s="142"/>
    </row>
    <row r="140" spans="1:16" ht="27" customHeight="1">
      <c r="A140" s="506"/>
      <c r="B140" s="506"/>
      <c r="C140" s="390" t="s">
        <v>144</v>
      </c>
      <c r="D140" s="471" t="s">
        <v>216</v>
      </c>
      <c r="E140" s="471"/>
      <c r="F140" s="390">
        <v>113</v>
      </c>
      <c r="G140" s="330">
        <f aca="true" t="shared" si="49" ref="G140:M140">G141+G142+G143+G144+G145+G146</f>
        <v>177619.15999999997</v>
      </c>
      <c r="H140" s="330">
        <f t="shared" si="49"/>
        <v>43917.07045995001</v>
      </c>
      <c r="I140" s="398">
        <f t="shared" si="49"/>
        <v>44404.3306802</v>
      </c>
      <c r="J140" s="330">
        <f t="shared" si="49"/>
        <v>88321.40114015002</v>
      </c>
      <c r="K140" s="398">
        <f t="shared" si="49"/>
        <v>44647.960219500004</v>
      </c>
      <c r="L140" s="330">
        <f t="shared" si="49"/>
        <v>132969.36135965</v>
      </c>
      <c r="M140" s="398">
        <f t="shared" si="49"/>
        <v>44649.797069399996</v>
      </c>
      <c r="N140" s="330">
        <f t="shared" si="28"/>
        <v>177619.15999999997</v>
      </c>
      <c r="O140" s="142"/>
      <c r="P140" s="142"/>
    </row>
    <row r="141" spans="1:16" ht="27" customHeight="1">
      <c r="A141" s="506"/>
      <c r="B141" s="506"/>
      <c r="C141" s="506"/>
      <c r="D141" s="471" t="s">
        <v>145</v>
      </c>
      <c r="E141" s="471"/>
      <c r="F141" s="390">
        <v>114</v>
      </c>
      <c r="G141" s="330">
        <f>'Anexa 2'!J141</f>
        <v>118626.84</v>
      </c>
      <c r="H141" s="380">
        <f>(H115+H131+1150)*15.8%</f>
        <v>29331.043370000003</v>
      </c>
      <c r="I141" s="398">
        <f>(I115+I131+1150)*15.8%</f>
        <v>29654.378520000002</v>
      </c>
      <c r="J141" s="380">
        <f aca="true" t="shared" si="50" ref="J141:L146">H141+I141</f>
        <v>58985.421890000005</v>
      </c>
      <c r="K141" s="398">
        <f>(K115+K131+1150)*15.8%</f>
        <v>29816.045700000002</v>
      </c>
      <c r="L141" s="380">
        <f t="shared" si="50"/>
        <v>88801.46759000001</v>
      </c>
      <c r="M141" s="398">
        <f>(M115+M131+1150)*15.8%+9.32</f>
        <v>29825.37044</v>
      </c>
      <c r="N141" s="330">
        <f t="shared" si="28"/>
        <v>118626.84</v>
      </c>
      <c r="O141" s="142"/>
      <c r="P141" s="142"/>
    </row>
    <row r="142" spans="1:16" ht="27" customHeight="1">
      <c r="A142" s="506"/>
      <c r="B142" s="506"/>
      <c r="C142" s="506"/>
      <c r="D142" s="471" t="s">
        <v>146</v>
      </c>
      <c r="E142" s="471"/>
      <c r="F142" s="390">
        <v>115</v>
      </c>
      <c r="G142" s="330">
        <f>'Anexa 2'!J142</f>
        <v>3754.01</v>
      </c>
      <c r="H142" s="380">
        <f>(H115+H131+1150)*0.5%</f>
        <v>928.1975750000001</v>
      </c>
      <c r="I142" s="398">
        <f>(I115+I131+1150)*0.5%</f>
        <v>938.4297</v>
      </c>
      <c r="J142" s="380">
        <f t="shared" si="50"/>
        <v>1866.6272750000003</v>
      </c>
      <c r="K142" s="398">
        <f>(K115+K131+1150)*0.5%</f>
        <v>943.5457500000001</v>
      </c>
      <c r="L142" s="380">
        <f t="shared" si="50"/>
        <v>2810.1730250000005</v>
      </c>
      <c r="M142" s="398">
        <f>(M115+M131+1150)*0.5%+0.29</f>
        <v>943.8358999999999</v>
      </c>
      <c r="N142" s="330">
        <f t="shared" si="28"/>
        <v>3754.01</v>
      </c>
      <c r="O142" s="142"/>
      <c r="P142" s="142"/>
    </row>
    <row r="143" spans="1:16" ht="27" customHeight="1">
      <c r="A143" s="506"/>
      <c r="B143" s="506"/>
      <c r="C143" s="506"/>
      <c r="D143" s="471" t="s">
        <v>147</v>
      </c>
      <c r="E143" s="471"/>
      <c r="F143" s="390">
        <v>116</v>
      </c>
      <c r="G143" s="330">
        <f>'Anexa 2'!J143</f>
        <v>45423.57</v>
      </c>
      <c r="H143" s="380">
        <f>(H115+H131+1150)*6.05%</f>
        <v>11231.190657500001</v>
      </c>
      <c r="I143" s="398">
        <f>(I115+I131+1150)*6.05%</f>
        <v>11354.99937</v>
      </c>
      <c r="J143" s="380">
        <f t="shared" si="50"/>
        <v>22586.1900275</v>
      </c>
      <c r="K143" s="398">
        <f>(K115+K131+1150)*6.05%</f>
        <v>11416.903575</v>
      </c>
      <c r="L143" s="380">
        <f t="shared" si="50"/>
        <v>34003.0936025</v>
      </c>
      <c r="M143" s="398">
        <f>(M115+M131+1150)*6.05%+3.57</f>
        <v>11420.47539</v>
      </c>
      <c r="N143" s="330">
        <f t="shared" si="28"/>
        <v>45423.57</v>
      </c>
      <c r="O143" s="142"/>
      <c r="P143" s="142"/>
    </row>
    <row r="144" spans="1:16" ht="27" customHeight="1">
      <c r="A144" s="506"/>
      <c r="B144" s="506"/>
      <c r="C144" s="506"/>
      <c r="D144" s="471" t="s">
        <v>148</v>
      </c>
      <c r="E144" s="471"/>
      <c r="F144" s="390">
        <v>117</v>
      </c>
      <c r="G144" s="330">
        <f>'Anexa 2'!J144</f>
        <v>3626.38</v>
      </c>
      <c r="H144" s="380">
        <f>(H115+H131+1150)*0.25%+(H115+H131+1150)*0.233%</f>
        <v>896.6388574500002</v>
      </c>
      <c r="I144" s="398">
        <f>(I115+I131+1150)*0.25%+(I115+I131+1150)*0.233%</f>
        <v>906.5230902000001</v>
      </c>
      <c r="J144" s="380">
        <f t="shared" si="50"/>
        <v>1803.1619476500002</v>
      </c>
      <c r="K144" s="398">
        <f>(K115+K131+1150)*0.25%+(K115+K131+1150)*0.233%</f>
        <v>911.4651945</v>
      </c>
      <c r="L144" s="380">
        <f t="shared" si="50"/>
        <v>2714.6271421500005</v>
      </c>
      <c r="M144" s="398">
        <f>(M115+M131+1150)*0.25%+(M115+M131+1150)*0.233%+0.29</f>
        <v>911.7553393999999</v>
      </c>
      <c r="N144" s="330">
        <f t="shared" si="28"/>
        <v>3626.38</v>
      </c>
      <c r="O144" s="142"/>
      <c r="P144" s="142"/>
    </row>
    <row r="145" spans="1:16" ht="27" customHeight="1">
      <c r="A145" s="506"/>
      <c r="B145" s="506"/>
      <c r="C145" s="506"/>
      <c r="D145" s="471" t="s">
        <v>149</v>
      </c>
      <c r="E145" s="471"/>
      <c r="F145" s="390">
        <v>118</v>
      </c>
      <c r="G145" s="330">
        <f>'Anexa 2'!J145</f>
        <v>0</v>
      </c>
      <c r="H145" s="380"/>
      <c r="I145" s="398"/>
      <c r="J145" s="380">
        <f t="shared" si="50"/>
        <v>0</v>
      </c>
      <c r="K145" s="398"/>
      <c r="L145" s="380">
        <f t="shared" si="50"/>
        <v>0</v>
      </c>
      <c r="M145" s="398"/>
      <c r="N145" s="330">
        <f aca="true" t="shared" si="51" ref="N145:N179">G145</f>
        <v>0</v>
      </c>
      <c r="O145" s="142"/>
      <c r="P145" s="142"/>
    </row>
    <row r="146" spans="1:16" ht="27" customHeight="1">
      <c r="A146" s="506"/>
      <c r="B146" s="506"/>
      <c r="C146" s="506"/>
      <c r="D146" s="471" t="s">
        <v>150</v>
      </c>
      <c r="E146" s="471"/>
      <c r="F146" s="390">
        <v>119</v>
      </c>
      <c r="G146" s="330">
        <f>'Anexa 2'!J146</f>
        <v>6188.36</v>
      </c>
      <c r="H146" s="380">
        <v>1530</v>
      </c>
      <c r="I146" s="398">
        <v>1550</v>
      </c>
      <c r="J146" s="380">
        <f t="shared" si="50"/>
        <v>3080</v>
      </c>
      <c r="K146" s="398">
        <v>1560</v>
      </c>
      <c r="L146" s="380">
        <f t="shared" si="50"/>
        <v>4640</v>
      </c>
      <c r="M146" s="398">
        <v>1548.36</v>
      </c>
      <c r="N146" s="330">
        <f t="shared" si="51"/>
        <v>6188.36</v>
      </c>
      <c r="O146" s="142"/>
      <c r="P146" s="142"/>
    </row>
    <row r="147" spans="1:16" ht="27" customHeight="1">
      <c r="A147" s="506"/>
      <c r="B147" s="506"/>
      <c r="C147" s="471" t="s">
        <v>217</v>
      </c>
      <c r="D147" s="471"/>
      <c r="E147" s="471"/>
      <c r="F147" s="390">
        <v>120</v>
      </c>
      <c r="G147" s="330">
        <f aca="true" t="shared" si="52" ref="G147:M147">G148+G151+G152+G153+G154+G155</f>
        <v>1765810.5199999998</v>
      </c>
      <c r="H147" s="330">
        <f t="shared" si="52"/>
        <v>48047.73</v>
      </c>
      <c r="I147" s="398">
        <f t="shared" si="52"/>
        <v>283485.94</v>
      </c>
      <c r="J147" s="330">
        <f t="shared" si="52"/>
        <v>331533.67</v>
      </c>
      <c r="K147" s="398">
        <f t="shared" si="52"/>
        <v>551148</v>
      </c>
      <c r="L147" s="330">
        <f t="shared" si="52"/>
        <v>882681.6699999999</v>
      </c>
      <c r="M147" s="398">
        <f t="shared" si="52"/>
        <v>883098.8500000001</v>
      </c>
      <c r="N147" s="330">
        <f t="shared" si="51"/>
        <v>1765810.5199999998</v>
      </c>
      <c r="O147" s="142"/>
      <c r="P147" s="142"/>
    </row>
    <row r="148" spans="1:16" ht="27" customHeight="1">
      <c r="A148" s="506"/>
      <c r="B148" s="506"/>
      <c r="C148" s="390" t="s">
        <v>8</v>
      </c>
      <c r="D148" s="471" t="s">
        <v>218</v>
      </c>
      <c r="E148" s="471"/>
      <c r="F148" s="390">
        <v>121</v>
      </c>
      <c r="G148" s="330">
        <f aca="true" t="shared" si="53" ref="G148:M148">G149+G150</f>
        <v>5861.29</v>
      </c>
      <c r="H148" s="330">
        <f t="shared" si="53"/>
        <v>750</v>
      </c>
      <c r="I148" s="398">
        <f t="shared" si="53"/>
        <v>2220</v>
      </c>
      <c r="J148" s="330">
        <f t="shared" si="53"/>
        <v>2970</v>
      </c>
      <c r="K148" s="398">
        <f t="shared" si="53"/>
        <v>850</v>
      </c>
      <c r="L148" s="330">
        <f t="shared" si="53"/>
        <v>3820</v>
      </c>
      <c r="M148" s="398">
        <f t="shared" si="53"/>
        <v>2011.29</v>
      </c>
      <c r="N148" s="330">
        <f t="shared" si="51"/>
        <v>5861.29</v>
      </c>
      <c r="O148" s="142"/>
      <c r="P148" s="142"/>
    </row>
    <row r="149" spans="1:16" ht="27" customHeight="1">
      <c r="A149" s="506"/>
      <c r="B149" s="506"/>
      <c r="C149" s="390"/>
      <c r="D149" s="471" t="s">
        <v>151</v>
      </c>
      <c r="E149" s="471"/>
      <c r="F149" s="390">
        <v>122</v>
      </c>
      <c r="G149" s="330">
        <f>'Anexa 2'!J149</f>
        <v>3955.2</v>
      </c>
      <c r="H149" s="380">
        <v>500</v>
      </c>
      <c r="I149" s="398">
        <v>1500</v>
      </c>
      <c r="J149" s="380">
        <f aca="true" t="shared" si="54" ref="J149:L154">H149+I149</f>
        <v>2000</v>
      </c>
      <c r="K149" s="398">
        <v>600</v>
      </c>
      <c r="L149" s="380">
        <f t="shared" si="54"/>
        <v>2600</v>
      </c>
      <c r="M149" s="398">
        <v>1325.2</v>
      </c>
      <c r="N149" s="330">
        <f t="shared" si="51"/>
        <v>3955.2</v>
      </c>
      <c r="O149" s="142"/>
      <c r="P149" s="142"/>
    </row>
    <row r="150" spans="1:16" ht="27" customHeight="1">
      <c r="A150" s="506"/>
      <c r="B150" s="506"/>
      <c r="C150" s="390"/>
      <c r="D150" s="471" t="s">
        <v>152</v>
      </c>
      <c r="E150" s="471"/>
      <c r="F150" s="390">
        <v>123</v>
      </c>
      <c r="G150" s="330">
        <f>'Anexa 2'!J150</f>
        <v>1906.09</v>
      </c>
      <c r="H150" s="380">
        <v>250</v>
      </c>
      <c r="I150" s="398">
        <v>720</v>
      </c>
      <c r="J150" s="380">
        <f t="shared" si="54"/>
        <v>970</v>
      </c>
      <c r="K150" s="398">
        <v>250</v>
      </c>
      <c r="L150" s="380">
        <f t="shared" si="54"/>
        <v>1220</v>
      </c>
      <c r="M150" s="398">
        <v>686.09</v>
      </c>
      <c r="N150" s="330">
        <f t="shared" si="51"/>
        <v>1906.09</v>
      </c>
      <c r="O150" s="142"/>
      <c r="P150" s="142"/>
    </row>
    <row r="151" spans="1:17" s="429" customFormat="1" ht="27" customHeight="1">
      <c r="A151" s="506"/>
      <c r="B151" s="506"/>
      <c r="C151" s="421" t="s">
        <v>20</v>
      </c>
      <c r="D151" s="474" t="s">
        <v>153</v>
      </c>
      <c r="E151" s="474"/>
      <c r="F151" s="421">
        <v>124</v>
      </c>
      <c r="G151" s="380">
        <f>'Anexa 2'!J151</f>
        <v>1561788.69</v>
      </c>
      <c r="H151" s="380">
        <v>0</v>
      </c>
      <c r="I151" s="380">
        <v>225000</v>
      </c>
      <c r="J151" s="380">
        <f t="shared" si="54"/>
        <v>225000</v>
      </c>
      <c r="K151" s="380">
        <v>505000</v>
      </c>
      <c r="L151" s="380">
        <f t="shared" si="54"/>
        <v>730000</v>
      </c>
      <c r="M151" s="380">
        <v>831788.69</v>
      </c>
      <c r="N151" s="380">
        <f t="shared" si="51"/>
        <v>1561788.69</v>
      </c>
      <c r="O151" s="142"/>
      <c r="P151" s="142"/>
      <c r="Q151" s="142"/>
    </row>
    <row r="152" spans="1:16" ht="27" customHeight="1">
      <c r="A152" s="506"/>
      <c r="B152" s="506"/>
      <c r="C152" s="390" t="s">
        <v>22</v>
      </c>
      <c r="D152" s="471" t="s">
        <v>154</v>
      </c>
      <c r="E152" s="471"/>
      <c r="F152" s="390">
        <v>125</v>
      </c>
      <c r="G152" s="330"/>
      <c r="H152" s="380"/>
      <c r="I152" s="398"/>
      <c r="J152" s="380"/>
      <c r="K152" s="398"/>
      <c r="L152" s="380"/>
      <c r="M152" s="398"/>
      <c r="N152" s="330"/>
      <c r="O152" s="142"/>
      <c r="P152" s="142"/>
    </row>
    <row r="153" spans="1:17" s="426" customFormat="1" ht="27" customHeight="1">
      <c r="A153" s="506"/>
      <c r="B153" s="506"/>
      <c r="C153" s="421" t="s">
        <v>31</v>
      </c>
      <c r="D153" s="474" t="s">
        <v>117</v>
      </c>
      <c r="E153" s="474"/>
      <c r="F153" s="421">
        <v>126</v>
      </c>
      <c r="G153" s="380">
        <f>'Anexa 2'!J153</f>
        <v>62779.68</v>
      </c>
      <c r="H153" s="380">
        <f>15695-2000</f>
        <v>13695</v>
      </c>
      <c r="I153" s="380">
        <f>15696+6000</f>
        <v>21696</v>
      </c>
      <c r="J153" s="380">
        <f t="shared" si="54"/>
        <v>35391</v>
      </c>
      <c r="K153" s="380">
        <f>15695-4000</f>
        <v>11695</v>
      </c>
      <c r="L153" s="380">
        <f t="shared" si="54"/>
        <v>47086</v>
      </c>
      <c r="M153" s="380">
        <v>15693.68</v>
      </c>
      <c r="N153" s="380">
        <f t="shared" si="51"/>
        <v>62779.68</v>
      </c>
      <c r="O153" s="142"/>
      <c r="P153" s="142"/>
      <c r="Q153" s="142"/>
    </row>
    <row r="154" spans="1:16" ht="27" customHeight="1">
      <c r="A154" s="506"/>
      <c r="B154" s="506"/>
      <c r="C154" s="390" t="s">
        <v>33</v>
      </c>
      <c r="D154" s="471" t="s">
        <v>155</v>
      </c>
      <c r="E154" s="471"/>
      <c r="F154" s="390">
        <v>127</v>
      </c>
      <c r="G154" s="330">
        <f>'Anexa 2'!J154</f>
        <v>134410.92</v>
      </c>
      <c r="H154" s="380">
        <f>G154/4</f>
        <v>33602.73</v>
      </c>
      <c r="I154" s="398">
        <v>33600</v>
      </c>
      <c r="J154" s="380">
        <f t="shared" si="54"/>
        <v>67202.73000000001</v>
      </c>
      <c r="K154" s="398">
        <v>33603</v>
      </c>
      <c r="L154" s="380">
        <f t="shared" si="54"/>
        <v>100805.73000000001</v>
      </c>
      <c r="M154" s="398">
        <v>33605.19</v>
      </c>
      <c r="N154" s="330">
        <f t="shared" si="51"/>
        <v>134410.92</v>
      </c>
      <c r="O154" s="142"/>
      <c r="P154" s="142"/>
    </row>
    <row r="155" spans="1:16" ht="27" customHeight="1">
      <c r="A155" s="506"/>
      <c r="B155" s="506"/>
      <c r="C155" s="377" t="s">
        <v>156</v>
      </c>
      <c r="D155" s="537" t="s">
        <v>219</v>
      </c>
      <c r="E155" s="537"/>
      <c r="F155" s="390">
        <v>128</v>
      </c>
      <c r="G155" s="330">
        <f aca="true" t="shared" si="55" ref="G155:M155">G156+G159</f>
        <v>969.94</v>
      </c>
      <c r="H155" s="330">
        <f t="shared" si="55"/>
        <v>0</v>
      </c>
      <c r="I155" s="398">
        <f t="shared" si="55"/>
        <v>969.94</v>
      </c>
      <c r="J155" s="330">
        <f t="shared" si="55"/>
        <v>969.94</v>
      </c>
      <c r="K155" s="398">
        <f t="shared" si="55"/>
        <v>0</v>
      </c>
      <c r="L155" s="330">
        <f t="shared" si="55"/>
        <v>969.94</v>
      </c>
      <c r="M155" s="398">
        <f t="shared" si="55"/>
        <v>0</v>
      </c>
      <c r="N155" s="330">
        <f t="shared" si="51"/>
        <v>969.94</v>
      </c>
      <c r="O155" s="142"/>
      <c r="P155" s="142"/>
    </row>
    <row r="156" spans="1:16" ht="27" customHeight="1">
      <c r="A156" s="506"/>
      <c r="B156" s="390"/>
      <c r="C156" s="390"/>
      <c r="D156" s="403" t="s">
        <v>36</v>
      </c>
      <c r="E156" s="400" t="s">
        <v>248</v>
      </c>
      <c r="F156" s="390">
        <v>129</v>
      </c>
      <c r="G156" s="330">
        <f aca="true" t="shared" si="56" ref="G156:M156">G157+G158</f>
        <v>969.94</v>
      </c>
      <c r="H156" s="330">
        <f t="shared" si="56"/>
        <v>0</v>
      </c>
      <c r="I156" s="398">
        <f t="shared" si="56"/>
        <v>969.94</v>
      </c>
      <c r="J156" s="330">
        <f t="shared" si="56"/>
        <v>969.94</v>
      </c>
      <c r="K156" s="398">
        <f t="shared" si="56"/>
        <v>0</v>
      </c>
      <c r="L156" s="330">
        <f t="shared" si="56"/>
        <v>969.94</v>
      </c>
      <c r="M156" s="398">
        <f t="shared" si="56"/>
        <v>0</v>
      </c>
      <c r="N156" s="330">
        <f t="shared" si="51"/>
        <v>969.94</v>
      </c>
      <c r="O156" s="142"/>
      <c r="P156" s="142"/>
    </row>
    <row r="157" spans="1:16" ht="27" customHeight="1">
      <c r="A157" s="506"/>
      <c r="B157" s="390"/>
      <c r="C157" s="390"/>
      <c r="D157" s="403" t="s">
        <v>220</v>
      </c>
      <c r="E157" s="405" t="s">
        <v>221</v>
      </c>
      <c r="F157" s="390">
        <v>130</v>
      </c>
      <c r="G157" s="330"/>
      <c r="H157" s="380"/>
      <c r="I157" s="398"/>
      <c r="J157" s="380">
        <f aca="true" t="shared" si="57" ref="J157:L158">H157+I157</f>
        <v>0</v>
      </c>
      <c r="K157" s="398"/>
      <c r="L157" s="380">
        <f t="shared" si="57"/>
        <v>0</v>
      </c>
      <c r="M157" s="398"/>
      <c r="N157" s="330">
        <f t="shared" si="51"/>
        <v>0</v>
      </c>
      <c r="O157" s="142"/>
      <c r="P157" s="142"/>
    </row>
    <row r="158" spans="1:16" ht="27" customHeight="1">
      <c r="A158" s="506"/>
      <c r="B158" s="390"/>
      <c r="C158" s="390"/>
      <c r="D158" s="403" t="s">
        <v>222</v>
      </c>
      <c r="E158" s="405" t="s">
        <v>223</v>
      </c>
      <c r="F158" s="390" t="s">
        <v>224</v>
      </c>
      <c r="G158" s="330">
        <f>'Anexa 2'!J158</f>
        <v>969.94</v>
      </c>
      <c r="H158" s="380">
        <v>0</v>
      </c>
      <c r="I158" s="398">
        <v>969.94</v>
      </c>
      <c r="J158" s="380">
        <f t="shared" si="57"/>
        <v>969.94</v>
      </c>
      <c r="K158" s="398">
        <v>0</v>
      </c>
      <c r="L158" s="380">
        <f t="shared" si="57"/>
        <v>969.94</v>
      </c>
      <c r="M158" s="398">
        <v>0</v>
      </c>
      <c r="N158" s="330">
        <f t="shared" si="51"/>
        <v>969.94</v>
      </c>
      <c r="O158" s="142"/>
      <c r="P158" s="142"/>
    </row>
    <row r="159" spans="1:16" ht="42" customHeight="1">
      <c r="A159" s="506"/>
      <c r="B159" s="390"/>
      <c r="C159" s="390"/>
      <c r="D159" s="403" t="s">
        <v>38</v>
      </c>
      <c r="E159" s="400" t="s">
        <v>157</v>
      </c>
      <c r="F159" s="390">
        <v>131</v>
      </c>
      <c r="G159" s="330">
        <f>G160</f>
        <v>0</v>
      </c>
      <c r="H159" s="330">
        <f aca="true" t="shared" si="58" ref="H159:M159">H160</f>
        <v>0</v>
      </c>
      <c r="I159" s="398">
        <f t="shared" si="58"/>
        <v>0</v>
      </c>
      <c r="J159" s="330">
        <f t="shared" si="58"/>
        <v>0</v>
      </c>
      <c r="K159" s="398">
        <f t="shared" si="58"/>
        <v>0</v>
      </c>
      <c r="L159" s="330">
        <f t="shared" si="58"/>
        <v>0</v>
      </c>
      <c r="M159" s="398">
        <f t="shared" si="58"/>
        <v>0</v>
      </c>
      <c r="N159" s="330">
        <f t="shared" si="51"/>
        <v>0</v>
      </c>
      <c r="O159" s="142"/>
      <c r="P159" s="142"/>
    </row>
    <row r="160" spans="1:16" ht="27" customHeight="1">
      <c r="A160" s="506"/>
      <c r="B160" s="390"/>
      <c r="C160" s="390"/>
      <c r="D160" s="391" t="s">
        <v>158</v>
      </c>
      <c r="E160" s="391" t="s">
        <v>225</v>
      </c>
      <c r="F160" s="390">
        <v>132</v>
      </c>
      <c r="G160" s="330">
        <f aca="true" t="shared" si="59" ref="G160:M160">G161+G162+G163</f>
        <v>0</v>
      </c>
      <c r="H160" s="330">
        <f t="shared" si="59"/>
        <v>0</v>
      </c>
      <c r="I160" s="398">
        <f t="shared" si="59"/>
        <v>0</v>
      </c>
      <c r="J160" s="330">
        <f t="shared" si="59"/>
        <v>0</v>
      </c>
      <c r="K160" s="398">
        <f t="shared" si="59"/>
        <v>0</v>
      </c>
      <c r="L160" s="330">
        <f t="shared" si="59"/>
        <v>0</v>
      </c>
      <c r="M160" s="398">
        <f t="shared" si="59"/>
        <v>0</v>
      </c>
      <c r="N160" s="330">
        <f t="shared" si="51"/>
        <v>0</v>
      </c>
      <c r="O160" s="142"/>
      <c r="P160" s="142"/>
    </row>
    <row r="161" spans="1:16" ht="27" customHeight="1">
      <c r="A161" s="506"/>
      <c r="B161" s="390"/>
      <c r="C161" s="390"/>
      <c r="D161" s="391"/>
      <c r="E161" s="391" t="s">
        <v>159</v>
      </c>
      <c r="F161" s="390">
        <v>133</v>
      </c>
      <c r="G161" s="330">
        <f>'Anexa 2'!G161</f>
        <v>0</v>
      </c>
      <c r="H161" s="383"/>
      <c r="I161" s="396"/>
      <c r="J161" s="380">
        <f aca="true" t="shared" si="60" ref="J161:L163">H161+I161</f>
        <v>0</v>
      </c>
      <c r="K161" s="396"/>
      <c r="L161" s="380">
        <f t="shared" si="60"/>
        <v>0</v>
      </c>
      <c r="M161" s="396"/>
      <c r="N161" s="330">
        <f t="shared" si="51"/>
        <v>0</v>
      </c>
      <c r="O161" s="142"/>
      <c r="P161" s="142"/>
    </row>
    <row r="162" spans="1:16" ht="27" customHeight="1">
      <c r="A162" s="506"/>
      <c r="B162" s="390"/>
      <c r="C162" s="390"/>
      <c r="D162" s="391"/>
      <c r="E162" s="391" t="s">
        <v>160</v>
      </c>
      <c r="F162" s="390">
        <v>134</v>
      </c>
      <c r="G162" s="330">
        <f>'Anexa 2'!G162</f>
        <v>0</v>
      </c>
      <c r="H162" s="380"/>
      <c r="I162" s="398"/>
      <c r="J162" s="380">
        <f t="shared" si="60"/>
        <v>0</v>
      </c>
      <c r="K162" s="398"/>
      <c r="L162" s="380">
        <f t="shared" si="60"/>
        <v>0</v>
      </c>
      <c r="M162" s="398"/>
      <c r="N162" s="330">
        <f t="shared" si="51"/>
        <v>0</v>
      </c>
      <c r="O162" s="142"/>
      <c r="P162" s="142"/>
    </row>
    <row r="163" spans="1:16" ht="27" customHeight="1">
      <c r="A163" s="506"/>
      <c r="B163" s="390"/>
      <c r="C163" s="390"/>
      <c r="D163" s="391"/>
      <c r="E163" s="391" t="s">
        <v>161</v>
      </c>
      <c r="F163" s="390">
        <v>135</v>
      </c>
      <c r="G163" s="330">
        <f>'Anexa 2'!G163</f>
        <v>0</v>
      </c>
      <c r="H163" s="380"/>
      <c r="I163" s="398"/>
      <c r="J163" s="380">
        <f t="shared" si="60"/>
        <v>0</v>
      </c>
      <c r="K163" s="398"/>
      <c r="L163" s="380">
        <f t="shared" si="60"/>
        <v>0</v>
      </c>
      <c r="M163" s="398"/>
      <c r="N163" s="330">
        <f t="shared" si="51"/>
        <v>0</v>
      </c>
      <c r="O163" s="142"/>
      <c r="P163" s="142"/>
    </row>
    <row r="164" spans="1:16" ht="27" customHeight="1">
      <c r="A164" s="506"/>
      <c r="B164" s="395">
        <v>2</v>
      </c>
      <c r="C164" s="395"/>
      <c r="D164" s="473" t="s">
        <v>226</v>
      </c>
      <c r="E164" s="473"/>
      <c r="F164" s="395">
        <v>136</v>
      </c>
      <c r="G164" s="379">
        <f aca="true" t="shared" si="61" ref="G164:M164">G165+G168+G171</f>
        <v>307518.12</v>
      </c>
      <c r="H164" s="379">
        <f t="shared" si="61"/>
        <v>76879.53</v>
      </c>
      <c r="I164" s="396">
        <f t="shared" si="61"/>
        <v>76879</v>
      </c>
      <c r="J164" s="379">
        <f t="shared" si="61"/>
        <v>153758.53</v>
      </c>
      <c r="K164" s="396">
        <f t="shared" si="61"/>
        <v>76941</v>
      </c>
      <c r="L164" s="379">
        <f t="shared" si="61"/>
        <v>230699.53</v>
      </c>
      <c r="M164" s="396">
        <f t="shared" si="61"/>
        <v>76818.59</v>
      </c>
      <c r="N164" s="379">
        <f t="shared" si="51"/>
        <v>307518.12</v>
      </c>
      <c r="O164" s="142"/>
      <c r="P164" s="142"/>
    </row>
    <row r="165" spans="1:16" ht="27" customHeight="1">
      <c r="A165" s="506"/>
      <c r="B165" s="506"/>
      <c r="C165" s="390" t="s">
        <v>8</v>
      </c>
      <c r="D165" s="471" t="s">
        <v>227</v>
      </c>
      <c r="E165" s="471"/>
      <c r="F165" s="390">
        <v>137</v>
      </c>
      <c r="G165" s="330">
        <f aca="true" t="shared" si="62" ref="G165:M165">G166+G167</f>
        <v>7518.12</v>
      </c>
      <c r="H165" s="330">
        <f t="shared" si="62"/>
        <v>1879.53</v>
      </c>
      <c r="I165" s="398">
        <f t="shared" si="62"/>
        <v>1879</v>
      </c>
      <c r="J165" s="330">
        <f t="shared" si="62"/>
        <v>3758.5299999999997</v>
      </c>
      <c r="K165" s="398">
        <f t="shared" si="62"/>
        <v>1881</v>
      </c>
      <c r="L165" s="330">
        <f t="shared" si="62"/>
        <v>5639.530000000001</v>
      </c>
      <c r="M165" s="398">
        <f t="shared" si="62"/>
        <v>1878.59</v>
      </c>
      <c r="N165" s="330">
        <f t="shared" si="51"/>
        <v>7518.12</v>
      </c>
      <c r="O165" s="142"/>
      <c r="P165" s="142"/>
    </row>
    <row r="166" spans="1:16" ht="27" customHeight="1">
      <c r="A166" s="506"/>
      <c r="B166" s="506"/>
      <c r="C166" s="390"/>
      <c r="D166" s="391" t="s">
        <v>10</v>
      </c>
      <c r="E166" s="391" t="s">
        <v>162</v>
      </c>
      <c r="F166" s="390">
        <v>138</v>
      </c>
      <c r="G166" s="330">
        <f>'Anexa 2'!J166</f>
        <v>1452.29</v>
      </c>
      <c r="H166" s="380">
        <f>G166/4</f>
        <v>363.0725</v>
      </c>
      <c r="I166" s="398">
        <v>363</v>
      </c>
      <c r="J166" s="380">
        <f aca="true" t="shared" si="63" ref="J166:L167">H166+I166</f>
        <v>726.0725</v>
      </c>
      <c r="K166" s="398">
        <v>364</v>
      </c>
      <c r="L166" s="380">
        <f t="shared" si="63"/>
        <v>1090.0725</v>
      </c>
      <c r="M166" s="398">
        <v>362.22</v>
      </c>
      <c r="N166" s="330">
        <f t="shared" si="51"/>
        <v>1452.29</v>
      </c>
      <c r="O166" s="142"/>
      <c r="P166" s="142"/>
    </row>
    <row r="167" spans="1:16" ht="27" customHeight="1">
      <c r="A167" s="506"/>
      <c r="B167" s="506"/>
      <c r="C167" s="390"/>
      <c r="D167" s="391" t="s">
        <v>12</v>
      </c>
      <c r="E167" s="391" t="s">
        <v>163</v>
      </c>
      <c r="F167" s="390">
        <v>139</v>
      </c>
      <c r="G167" s="330">
        <f>'Anexa 2'!J167</f>
        <v>6065.83</v>
      </c>
      <c r="H167" s="380">
        <f>G167/4</f>
        <v>1516.4575</v>
      </c>
      <c r="I167" s="398">
        <v>1516</v>
      </c>
      <c r="J167" s="380">
        <f t="shared" si="63"/>
        <v>3032.4575</v>
      </c>
      <c r="K167" s="398">
        <v>1517</v>
      </c>
      <c r="L167" s="380">
        <f t="shared" si="63"/>
        <v>4549.4575</v>
      </c>
      <c r="M167" s="398">
        <v>1516.37</v>
      </c>
      <c r="N167" s="330">
        <f t="shared" si="51"/>
        <v>6065.83</v>
      </c>
      <c r="O167" s="142"/>
      <c r="P167" s="142"/>
    </row>
    <row r="168" spans="1:16" ht="27" customHeight="1">
      <c r="A168" s="506"/>
      <c r="B168" s="506"/>
      <c r="C168" s="390" t="s">
        <v>20</v>
      </c>
      <c r="D168" s="471" t="s">
        <v>228</v>
      </c>
      <c r="E168" s="471"/>
      <c r="F168" s="390">
        <v>140</v>
      </c>
      <c r="G168" s="330">
        <f aca="true" t="shared" si="64" ref="G168:M168">G169+G170</f>
        <v>300000</v>
      </c>
      <c r="H168" s="330">
        <f t="shared" si="64"/>
        <v>75000</v>
      </c>
      <c r="I168" s="398">
        <f t="shared" si="64"/>
        <v>75000</v>
      </c>
      <c r="J168" s="330">
        <f t="shared" si="64"/>
        <v>150000</v>
      </c>
      <c r="K168" s="398">
        <f t="shared" si="64"/>
        <v>75060</v>
      </c>
      <c r="L168" s="330">
        <f t="shared" si="64"/>
        <v>225060</v>
      </c>
      <c r="M168" s="398">
        <f t="shared" si="64"/>
        <v>74940</v>
      </c>
      <c r="N168" s="330">
        <f t="shared" si="51"/>
        <v>300000</v>
      </c>
      <c r="O168" s="142"/>
      <c r="P168" s="142"/>
    </row>
    <row r="169" spans="1:16" ht="27" customHeight="1">
      <c r="A169" s="506"/>
      <c r="B169" s="506"/>
      <c r="C169" s="390"/>
      <c r="D169" s="391" t="s">
        <v>59</v>
      </c>
      <c r="E169" s="391" t="s">
        <v>162</v>
      </c>
      <c r="F169" s="390">
        <v>141</v>
      </c>
      <c r="G169" s="330">
        <f>'Anexa 2'!J169</f>
        <v>295000</v>
      </c>
      <c r="H169" s="380">
        <f>G169/4</f>
        <v>73750</v>
      </c>
      <c r="I169" s="398">
        <v>73750</v>
      </c>
      <c r="J169" s="380">
        <f aca="true" t="shared" si="65" ref="J169:L172">H169+I169</f>
        <v>147500</v>
      </c>
      <c r="K169" s="398">
        <v>73800</v>
      </c>
      <c r="L169" s="380">
        <f t="shared" si="65"/>
        <v>221300</v>
      </c>
      <c r="M169" s="398">
        <v>73700</v>
      </c>
      <c r="N169" s="330">
        <f t="shared" si="51"/>
        <v>295000</v>
      </c>
      <c r="O169" s="142"/>
      <c r="P169" s="142"/>
    </row>
    <row r="170" spans="1:16" ht="27" customHeight="1">
      <c r="A170" s="506"/>
      <c r="B170" s="506"/>
      <c r="C170" s="390"/>
      <c r="D170" s="391" t="s">
        <v>61</v>
      </c>
      <c r="E170" s="391" t="s">
        <v>163</v>
      </c>
      <c r="F170" s="390">
        <v>142</v>
      </c>
      <c r="G170" s="330">
        <f>'Anexa 2'!J170</f>
        <v>5000</v>
      </c>
      <c r="H170" s="380">
        <f>G170/4</f>
        <v>1250</v>
      </c>
      <c r="I170" s="398">
        <v>1250</v>
      </c>
      <c r="J170" s="380">
        <f t="shared" si="65"/>
        <v>2500</v>
      </c>
      <c r="K170" s="398">
        <v>1260</v>
      </c>
      <c r="L170" s="380">
        <f t="shared" si="65"/>
        <v>3760</v>
      </c>
      <c r="M170" s="398">
        <v>1240</v>
      </c>
      <c r="N170" s="330">
        <f t="shared" si="51"/>
        <v>5000</v>
      </c>
      <c r="O170" s="142"/>
      <c r="P170" s="142"/>
    </row>
    <row r="171" spans="1:16" ht="27" customHeight="1">
      <c r="A171" s="506"/>
      <c r="B171" s="506"/>
      <c r="C171" s="390" t="s">
        <v>22</v>
      </c>
      <c r="D171" s="471" t="s">
        <v>164</v>
      </c>
      <c r="E171" s="471"/>
      <c r="F171" s="390">
        <v>143</v>
      </c>
      <c r="G171" s="330"/>
      <c r="H171" s="380"/>
      <c r="I171" s="398"/>
      <c r="J171" s="380"/>
      <c r="K171" s="398"/>
      <c r="L171" s="380"/>
      <c r="M171" s="398"/>
      <c r="N171" s="330"/>
      <c r="O171" s="142"/>
      <c r="P171" s="142"/>
    </row>
    <row r="172" spans="1:16" ht="27" customHeight="1">
      <c r="A172" s="506"/>
      <c r="B172" s="395">
        <v>3</v>
      </c>
      <c r="C172" s="395"/>
      <c r="D172" s="473" t="s">
        <v>165</v>
      </c>
      <c r="E172" s="473"/>
      <c r="F172" s="395">
        <v>144</v>
      </c>
      <c r="G172" s="379">
        <f>'Anexa 2'!J172</f>
        <v>0</v>
      </c>
      <c r="H172" s="383">
        <f>G172/4</f>
        <v>0</v>
      </c>
      <c r="I172" s="396"/>
      <c r="J172" s="383">
        <f t="shared" si="65"/>
        <v>0</v>
      </c>
      <c r="K172" s="396"/>
      <c r="L172" s="383">
        <f t="shared" si="65"/>
        <v>0</v>
      </c>
      <c r="M172" s="396"/>
      <c r="N172" s="379">
        <f t="shared" si="51"/>
        <v>0</v>
      </c>
      <c r="O172" s="142"/>
      <c r="P172" s="142"/>
    </row>
    <row r="173" spans="1:16" ht="27" customHeight="1">
      <c r="A173" s="395" t="s">
        <v>166</v>
      </c>
      <c r="B173" s="395"/>
      <c r="C173" s="395"/>
      <c r="D173" s="473" t="s">
        <v>229</v>
      </c>
      <c r="E173" s="473"/>
      <c r="F173" s="395">
        <v>145</v>
      </c>
      <c r="G173" s="379">
        <f aca="true" t="shared" si="66" ref="G173:M173">G16-G48</f>
        <v>0</v>
      </c>
      <c r="H173" s="379">
        <f t="shared" si="66"/>
        <v>32304.896206716658</v>
      </c>
      <c r="I173" s="396">
        <f t="shared" si="66"/>
        <v>-1271.0979680947494</v>
      </c>
      <c r="J173" s="379">
        <f t="shared" si="66"/>
        <v>31033.798238621792</v>
      </c>
      <c r="K173" s="396">
        <f t="shared" si="66"/>
        <v>11756.546218920965</v>
      </c>
      <c r="L173" s="379">
        <f t="shared" si="66"/>
        <v>42790.34445754299</v>
      </c>
      <c r="M173" s="396">
        <f t="shared" si="66"/>
        <v>-37560.36047045258</v>
      </c>
      <c r="N173" s="379">
        <f t="shared" si="51"/>
        <v>0</v>
      </c>
      <c r="O173" s="142"/>
      <c r="P173" s="142"/>
    </row>
    <row r="174" spans="1:16" ht="27" customHeight="1">
      <c r="A174" s="406"/>
      <c r="B174" s="407"/>
      <c r="C174" s="407"/>
      <c r="D174" s="408"/>
      <c r="E174" s="408" t="s">
        <v>230</v>
      </c>
      <c r="F174" s="409">
        <v>146</v>
      </c>
      <c r="G174" s="330">
        <f>'Anexa 2'!J174</f>
        <v>0</v>
      </c>
      <c r="H174" s="383"/>
      <c r="I174" s="396"/>
      <c r="J174" s="380">
        <f>H174+I174</f>
        <v>0</v>
      </c>
      <c r="K174" s="396"/>
      <c r="L174" s="380">
        <f>J174+K174</f>
        <v>0</v>
      </c>
      <c r="M174" s="396"/>
      <c r="N174" s="330">
        <f t="shared" si="51"/>
        <v>0</v>
      </c>
      <c r="O174" s="142"/>
      <c r="P174" s="142"/>
    </row>
    <row r="175" spans="1:16" ht="27" customHeight="1">
      <c r="A175" s="406"/>
      <c r="B175" s="407"/>
      <c r="C175" s="407"/>
      <c r="D175" s="408"/>
      <c r="E175" s="408" t="s">
        <v>231</v>
      </c>
      <c r="F175" s="409">
        <v>147</v>
      </c>
      <c r="G175" s="330">
        <f>'Anexa 2'!J175</f>
        <v>0</v>
      </c>
      <c r="H175" s="383"/>
      <c r="I175" s="396"/>
      <c r="J175" s="380">
        <f>H175+I175</f>
        <v>0</v>
      </c>
      <c r="K175" s="396"/>
      <c r="L175" s="380">
        <f>J175+K175</f>
        <v>0</v>
      </c>
      <c r="M175" s="396"/>
      <c r="N175" s="330">
        <f t="shared" si="51"/>
        <v>0</v>
      </c>
      <c r="O175" s="142"/>
      <c r="P175" s="142"/>
    </row>
    <row r="176" spans="1:16" ht="27" customHeight="1">
      <c r="A176" s="410" t="s">
        <v>167</v>
      </c>
      <c r="B176" s="411"/>
      <c r="C176" s="411"/>
      <c r="D176" s="538" t="s">
        <v>168</v>
      </c>
      <c r="E176" s="538"/>
      <c r="F176" s="409">
        <v>148</v>
      </c>
      <c r="G176" s="330">
        <f>'Anexa 2'!J176</f>
        <v>0</v>
      </c>
      <c r="H176" s="383"/>
      <c r="I176" s="396"/>
      <c r="J176" s="380">
        <f>H176+I176</f>
        <v>0</v>
      </c>
      <c r="K176" s="396"/>
      <c r="L176" s="380">
        <f>J176+K176</f>
        <v>0</v>
      </c>
      <c r="M176" s="396"/>
      <c r="N176" s="330">
        <f t="shared" si="51"/>
        <v>0</v>
      </c>
      <c r="O176" s="142"/>
      <c r="P176" s="142"/>
    </row>
    <row r="177" spans="1:16" ht="27" customHeight="1">
      <c r="A177" s="410" t="s">
        <v>169</v>
      </c>
      <c r="B177" s="411"/>
      <c r="C177" s="411"/>
      <c r="D177" s="538" t="s">
        <v>177</v>
      </c>
      <c r="E177" s="538"/>
      <c r="F177" s="409">
        <v>149</v>
      </c>
      <c r="G177" s="330">
        <f>'Anexa 2'!J197</f>
        <v>235365</v>
      </c>
      <c r="H177" s="380">
        <f>276900-10400</f>
        <v>266500</v>
      </c>
      <c r="I177" s="398"/>
      <c r="J177" s="380">
        <f>H177-10400</f>
        <v>256100</v>
      </c>
      <c r="K177" s="398"/>
      <c r="L177" s="380">
        <f>J177-10500</f>
        <v>245600</v>
      </c>
      <c r="M177" s="398"/>
      <c r="N177" s="330">
        <f>L177-10235</f>
        <v>235365</v>
      </c>
      <c r="O177" s="142"/>
      <c r="P177" s="142"/>
    </row>
    <row r="178" spans="1:16" ht="27" customHeight="1">
      <c r="A178" s="410" t="s">
        <v>293</v>
      </c>
      <c r="B178" s="411"/>
      <c r="C178" s="411"/>
      <c r="D178" s="538" t="s">
        <v>312</v>
      </c>
      <c r="E178" s="538"/>
      <c r="F178" s="409">
        <v>150</v>
      </c>
      <c r="G178" s="330">
        <f>'Anexa 2'!J198</f>
        <v>1142000</v>
      </c>
      <c r="H178" s="380"/>
      <c r="I178" s="398"/>
      <c r="J178" s="380">
        <f>H178+I178</f>
        <v>0</v>
      </c>
      <c r="K178" s="398"/>
      <c r="L178" s="380">
        <f>J178+K178</f>
        <v>0</v>
      </c>
      <c r="M178" s="398"/>
      <c r="N178" s="330">
        <f t="shared" si="51"/>
        <v>1142000</v>
      </c>
      <c r="O178" s="142"/>
      <c r="P178" s="142"/>
    </row>
    <row r="179" spans="1:16" ht="27" customHeight="1">
      <c r="A179" s="410" t="s">
        <v>295</v>
      </c>
      <c r="B179" s="411"/>
      <c r="C179" s="411"/>
      <c r="D179" s="539" t="s">
        <v>534</v>
      </c>
      <c r="E179" s="539"/>
      <c r="F179" s="409">
        <v>151</v>
      </c>
      <c r="G179" s="389">
        <f>'Anexa 2'!J185</f>
        <v>21790</v>
      </c>
      <c r="H179" s="412">
        <f>G179*H180/G180</f>
        <v>21692.093817397556</v>
      </c>
      <c r="I179" s="413">
        <v>21790</v>
      </c>
      <c r="J179" s="414">
        <f>H179*J180/H180</f>
        <v>21790</v>
      </c>
      <c r="K179" s="413">
        <v>21790</v>
      </c>
      <c r="L179" s="414">
        <f>J179+K179</f>
        <v>43580</v>
      </c>
      <c r="M179" s="413">
        <v>21790</v>
      </c>
      <c r="N179" s="389">
        <f t="shared" si="51"/>
        <v>21790</v>
      </c>
      <c r="O179" s="142"/>
      <c r="P179" s="142"/>
    </row>
    <row r="180" spans="1:16" ht="27" customHeight="1">
      <c r="A180" s="410" t="s">
        <v>295</v>
      </c>
      <c r="B180" s="411"/>
      <c r="C180" s="411"/>
      <c r="D180" s="539" t="s">
        <v>339</v>
      </c>
      <c r="E180" s="539"/>
      <c r="F180" s="409">
        <v>152</v>
      </c>
      <c r="G180" s="389">
        <f>'Anexa 2'!J184</f>
        <v>22256</v>
      </c>
      <c r="H180" s="412">
        <v>22156</v>
      </c>
      <c r="I180" s="413">
        <f>H180+100</f>
        <v>22256</v>
      </c>
      <c r="J180" s="414">
        <f>I180</f>
        <v>22256</v>
      </c>
      <c r="K180" s="413">
        <v>22256</v>
      </c>
      <c r="L180" s="414">
        <f>K180</f>
        <v>22256</v>
      </c>
      <c r="M180" s="413">
        <v>22256</v>
      </c>
      <c r="N180" s="389">
        <f>M180</f>
        <v>22256</v>
      </c>
      <c r="O180" s="142"/>
      <c r="P180" s="142"/>
    </row>
    <row r="181" spans="1:16" ht="12.75" customHeight="1">
      <c r="A181" s="415"/>
      <c r="B181" s="415"/>
      <c r="C181" s="415"/>
      <c r="D181" s="416"/>
      <c r="E181" s="416"/>
      <c r="F181" s="415"/>
      <c r="G181" s="417"/>
      <c r="H181" s="418"/>
      <c r="I181" s="419"/>
      <c r="J181" s="418"/>
      <c r="K181" s="419"/>
      <c r="L181" s="418"/>
      <c r="M181" s="419"/>
      <c r="N181" s="418"/>
      <c r="O181" s="142"/>
      <c r="P181" s="142"/>
    </row>
    <row r="182" spans="1:16" ht="12.75" customHeight="1">
      <c r="A182" s="415"/>
      <c r="B182" s="415"/>
      <c r="C182" s="415"/>
      <c r="D182" s="416"/>
      <c r="E182" s="416"/>
      <c r="F182" s="415"/>
      <c r="G182" s="417"/>
      <c r="H182" s="418"/>
      <c r="I182" s="419" t="s">
        <v>632</v>
      </c>
      <c r="J182" s="418"/>
      <c r="K182" s="419" t="s">
        <v>633</v>
      </c>
      <c r="L182" s="418"/>
      <c r="M182" s="419" t="s">
        <v>632</v>
      </c>
      <c r="N182" s="418"/>
      <c r="O182" s="142"/>
      <c r="P182" s="142"/>
    </row>
    <row r="183" spans="1:16" ht="12.75">
      <c r="A183" s="415"/>
      <c r="B183" s="415"/>
      <c r="C183" s="415"/>
      <c r="D183" s="415"/>
      <c r="E183" s="420"/>
      <c r="F183" s="415"/>
      <c r="G183" s="418"/>
      <c r="H183" s="418"/>
      <c r="I183" s="419"/>
      <c r="J183" s="418"/>
      <c r="K183" s="419"/>
      <c r="L183" s="418"/>
      <c r="M183" s="419"/>
      <c r="N183" s="418"/>
      <c r="O183" s="142"/>
      <c r="P183" s="142"/>
    </row>
    <row r="184" spans="1:16" ht="18" customHeight="1">
      <c r="A184" s="525" t="s">
        <v>313</v>
      </c>
      <c r="B184" s="525"/>
      <c r="C184" s="525"/>
      <c r="D184" s="525"/>
      <c r="E184" s="525"/>
      <c r="F184" s="525"/>
      <c r="G184" s="525"/>
      <c r="H184" s="525"/>
      <c r="I184" s="525"/>
      <c r="J184" s="525"/>
      <c r="K184" s="525"/>
      <c r="L184" s="525"/>
      <c r="M184" s="525"/>
      <c r="N184" s="525"/>
      <c r="O184" s="142"/>
      <c r="P184" s="142"/>
    </row>
    <row r="185" spans="1:16" ht="18">
      <c r="A185" s="465" t="s">
        <v>562</v>
      </c>
      <c r="B185" s="465"/>
      <c r="C185" s="465"/>
      <c r="D185" s="465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142"/>
      <c r="P185" s="142"/>
    </row>
    <row r="186" spans="1:16" ht="18">
      <c r="A186" s="299"/>
      <c r="B186" s="299"/>
      <c r="C186" s="299"/>
      <c r="D186" s="299"/>
      <c r="E186" s="299"/>
      <c r="F186" s="299"/>
      <c r="G186" s="314"/>
      <c r="H186" s="299"/>
      <c r="I186" s="366"/>
      <c r="J186" s="314"/>
      <c r="K186" s="370"/>
      <c r="L186" s="299"/>
      <c r="O186" s="142"/>
      <c r="P186" s="142"/>
    </row>
    <row r="187" spans="1:16" ht="18">
      <c r="A187" s="299"/>
      <c r="B187" s="299"/>
      <c r="C187" s="299"/>
      <c r="D187" s="299"/>
      <c r="E187" s="299"/>
      <c r="F187" s="299"/>
      <c r="G187" s="314"/>
      <c r="H187" s="299"/>
      <c r="I187" s="366"/>
      <c r="J187" s="314"/>
      <c r="K187" s="370"/>
      <c r="L187" s="299"/>
      <c r="O187" s="142"/>
      <c r="P187" s="142"/>
    </row>
    <row r="188" spans="1:16" ht="14.25">
      <c r="A188" s="114"/>
      <c r="B188"/>
      <c r="C188" s="113"/>
      <c r="D188" s="115"/>
      <c r="E188" s="116"/>
      <c r="F188" s="70"/>
      <c r="G188" s="70"/>
      <c r="H188" s="70"/>
      <c r="I188" s="367"/>
      <c r="J188" s="139"/>
      <c r="K188" s="371"/>
      <c r="L188" s="320"/>
      <c r="O188" s="142"/>
      <c r="P188" s="142"/>
    </row>
    <row r="189" spans="1:16" ht="14.25">
      <c r="A189" s="114"/>
      <c r="B189"/>
      <c r="C189" s="113"/>
      <c r="D189" s="115"/>
      <c r="E189" s="116"/>
      <c r="F189" s="70"/>
      <c r="G189" s="70"/>
      <c r="H189" s="70"/>
      <c r="I189" s="367"/>
      <c r="J189" s="70"/>
      <c r="K189" s="371"/>
      <c r="L189" s="320"/>
      <c r="O189" s="142"/>
      <c r="P189" s="142"/>
    </row>
    <row r="190" spans="1:16" ht="15.75">
      <c r="A190" s="495" t="s">
        <v>314</v>
      </c>
      <c r="B190" s="495"/>
      <c r="C190" s="495"/>
      <c r="D190" s="495"/>
      <c r="E190" s="495"/>
      <c r="F190" s="495" t="s">
        <v>543</v>
      </c>
      <c r="G190" s="495"/>
      <c r="H190" s="495"/>
      <c r="I190" s="495"/>
      <c r="J190" s="495"/>
      <c r="K190" s="369"/>
      <c r="L190" s="70"/>
      <c r="O190" s="142"/>
      <c r="P190" s="142"/>
    </row>
    <row r="191" spans="1:16" ht="15.75">
      <c r="A191" s="496" t="s">
        <v>492</v>
      </c>
      <c r="B191" s="496"/>
      <c r="C191" s="496"/>
      <c r="D191" s="496"/>
      <c r="E191" s="496"/>
      <c r="F191" s="496" t="s">
        <v>544</v>
      </c>
      <c r="G191" s="496"/>
      <c r="H191" s="496"/>
      <c r="I191" s="496"/>
      <c r="J191" s="496"/>
      <c r="K191" s="369"/>
      <c r="L191" s="70"/>
      <c r="O191" s="142"/>
      <c r="P191" s="142"/>
    </row>
    <row r="192" spans="1:16" ht="15.75">
      <c r="A192" s="234"/>
      <c r="B192" s="234"/>
      <c r="C192" s="234"/>
      <c r="D192" s="115"/>
      <c r="E192" s="116"/>
      <c r="F192" s="504"/>
      <c r="G192" s="504"/>
      <c r="H192" s="504"/>
      <c r="I192" s="504"/>
      <c r="J192" s="504"/>
      <c r="K192" s="504"/>
      <c r="L192" s="504"/>
      <c r="O192" s="142"/>
      <c r="P192" s="142"/>
    </row>
    <row r="193" spans="1:16" ht="15.75">
      <c r="A193" s="234"/>
      <c r="B193" s="234"/>
      <c r="C193" s="234"/>
      <c r="D193" s="115"/>
      <c r="E193" s="116"/>
      <c r="F193" s="300"/>
      <c r="G193" s="300"/>
      <c r="H193" s="300"/>
      <c r="I193" s="368"/>
      <c r="J193" s="300"/>
      <c r="K193" s="368"/>
      <c r="L193" s="300"/>
      <c r="O193" s="142"/>
      <c r="P193" s="142"/>
    </row>
    <row r="194" spans="1:16" ht="15.75">
      <c r="A194" s="234"/>
      <c r="B194" s="234"/>
      <c r="C194" s="234"/>
      <c r="D194" s="115"/>
      <c r="E194" s="116"/>
      <c r="F194" s="300"/>
      <c r="G194" s="300"/>
      <c r="H194" s="300"/>
      <c r="I194" s="368"/>
      <c r="J194" s="300"/>
      <c r="K194" s="368"/>
      <c r="L194" s="300"/>
      <c r="O194" s="142"/>
      <c r="P194" s="142"/>
    </row>
    <row r="195" spans="1:16" ht="15.75" customHeight="1">
      <c r="A195" s="234"/>
      <c r="B195" s="234"/>
      <c r="C195" s="234"/>
      <c r="D195" s="115"/>
      <c r="E195" s="495" t="s">
        <v>563</v>
      </c>
      <c r="F195" s="495"/>
      <c r="G195" s="495"/>
      <c r="H195" s="300"/>
      <c r="I195" s="368"/>
      <c r="J195" s="495" t="s">
        <v>631</v>
      </c>
      <c r="K195" s="495"/>
      <c r="L195" s="495"/>
      <c r="M195" s="495"/>
      <c r="N195" s="495"/>
      <c r="O195" s="142"/>
      <c r="P195" s="142"/>
    </row>
    <row r="196" spans="1:16" ht="15.75" customHeight="1">
      <c r="A196" s="234"/>
      <c r="B196" s="234"/>
      <c r="C196" s="234"/>
      <c r="D196" s="115"/>
      <c r="E196" s="496" t="s">
        <v>634</v>
      </c>
      <c r="F196" s="496"/>
      <c r="G196" s="496"/>
      <c r="H196" s="300"/>
      <c r="I196" s="368"/>
      <c r="J196" s="495" t="s">
        <v>491</v>
      </c>
      <c r="K196" s="495"/>
      <c r="L196" s="495"/>
      <c r="M196" s="495"/>
      <c r="N196" s="495"/>
      <c r="O196" s="142"/>
      <c r="P196" s="142"/>
    </row>
    <row r="197" spans="1:16" ht="15">
      <c r="A197" s="234"/>
      <c r="B197" s="234"/>
      <c r="C197" s="234"/>
      <c r="D197" s="115"/>
      <c r="E197" s="116"/>
      <c r="F197" s="70"/>
      <c r="G197" s="70"/>
      <c r="H197" s="70"/>
      <c r="I197" s="367"/>
      <c r="J197" s="70"/>
      <c r="K197" s="371"/>
      <c r="L197" s="320"/>
      <c r="O197" s="142"/>
      <c r="P197" s="142"/>
    </row>
    <row r="198" spans="1:16" ht="14.25">
      <c r="A198" s="307"/>
      <c r="B198" s="307"/>
      <c r="C198" s="308"/>
      <c r="D198" s="115"/>
      <c r="E198" s="116"/>
      <c r="F198" s="70"/>
      <c r="G198" s="70"/>
      <c r="H198" s="70"/>
      <c r="I198" s="367"/>
      <c r="J198" s="70"/>
      <c r="K198" s="371"/>
      <c r="L198" s="320"/>
      <c r="O198" s="142"/>
      <c r="P198" s="142"/>
    </row>
    <row r="199" spans="1:16" ht="14.25">
      <c r="A199" s="307"/>
      <c r="B199" s="307"/>
      <c r="C199" s="308"/>
      <c r="D199" s="115"/>
      <c r="E199" s="116"/>
      <c r="F199" s="70"/>
      <c r="G199" s="70"/>
      <c r="H199" s="70"/>
      <c r="I199" s="367"/>
      <c r="J199" s="70"/>
      <c r="K199" s="371"/>
      <c r="L199" s="320"/>
      <c r="O199" s="142"/>
      <c r="P199" s="142"/>
    </row>
    <row r="200" spans="1:16" ht="14.25">
      <c r="A200" s="307"/>
      <c r="B200" s="125"/>
      <c r="C200" s="125"/>
      <c r="D200" s="115"/>
      <c r="E200" s="116"/>
      <c r="F200" s="70"/>
      <c r="G200" s="70"/>
      <c r="H200" s="70"/>
      <c r="I200" s="367"/>
      <c r="J200" s="70"/>
      <c r="K200" s="371"/>
      <c r="L200" s="320"/>
      <c r="O200" s="142"/>
      <c r="P200" s="142"/>
    </row>
    <row r="201" spans="1:16" ht="12.75">
      <c r="A201" s="497" t="s">
        <v>316</v>
      </c>
      <c r="B201" s="497"/>
      <c r="C201" s="497"/>
      <c r="D201" s="497"/>
      <c r="E201" s="529" t="s">
        <v>545</v>
      </c>
      <c r="F201" s="529"/>
      <c r="G201" s="529" t="s">
        <v>546</v>
      </c>
      <c r="H201" s="529"/>
      <c r="I201" s="529"/>
      <c r="J201" s="529" t="s">
        <v>565</v>
      </c>
      <c r="K201" s="529"/>
      <c r="L201" s="529"/>
      <c r="M201" s="529"/>
      <c r="N201" s="529"/>
      <c r="O201" s="142"/>
      <c r="P201" s="142"/>
    </row>
    <row r="202" spans="1:16" ht="12.75">
      <c r="A202" s="528" t="s">
        <v>315</v>
      </c>
      <c r="B202" s="528"/>
      <c r="C202" s="528"/>
      <c r="D202" s="528"/>
      <c r="E202" s="529" t="s">
        <v>547</v>
      </c>
      <c r="F202" s="529"/>
      <c r="G202" s="529" t="s">
        <v>548</v>
      </c>
      <c r="H202" s="529"/>
      <c r="I202" s="529"/>
      <c r="J202" s="529" t="s">
        <v>566</v>
      </c>
      <c r="K202" s="529"/>
      <c r="L202" s="529"/>
      <c r="M202" s="529"/>
      <c r="N202" s="529"/>
      <c r="O202" s="142"/>
      <c r="P202" s="142"/>
    </row>
    <row r="203" spans="1:16" ht="15">
      <c r="A203" s="234"/>
      <c r="B203" s="234"/>
      <c r="C203" s="125"/>
      <c r="D203" s="115"/>
      <c r="E203" s="116"/>
      <c r="F203" s="70"/>
      <c r="G203" s="70"/>
      <c r="H203" s="70"/>
      <c r="I203" s="367"/>
      <c r="J203" s="70"/>
      <c r="K203" s="371"/>
      <c r="M203" s="373"/>
      <c r="N203" s="304"/>
      <c r="O203" s="142"/>
      <c r="P203" s="142"/>
    </row>
    <row r="204" spans="1:16" ht="15">
      <c r="A204" s="234"/>
      <c r="B204" s="234"/>
      <c r="C204" s="125"/>
      <c r="D204" s="115"/>
      <c r="E204" s="116"/>
      <c r="F204" s="70"/>
      <c r="G204" s="70"/>
      <c r="H204" s="70"/>
      <c r="I204" s="367"/>
      <c r="J204" s="70"/>
      <c r="K204" s="371"/>
      <c r="M204" s="373"/>
      <c r="N204" s="304"/>
      <c r="O204" s="142"/>
      <c r="P204" s="142"/>
    </row>
    <row r="205" spans="1:16" ht="15">
      <c r="A205" s="234"/>
      <c r="B205" s="234"/>
      <c r="C205" s="125"/>
      <c r="D205" s="115"/>
      <c r="E205" s="116"/>
      <c r="F205" s="70"/>
      <c r="G205" s="70"/>
      <c r="H205" s="70"/>
      <c r="I205" s="367"/>
      <c r="J205" s="70"/>
      <c r="K205" s="371"/>
      <c r="L205" s="320"/>
      <c r="O205" s="142"/>
      <c r="P205" s="142"/>
    </row>
    <row r="206" spans="1:16" ht="15">
      <c r="A206" s="234"/>
      <c r="B206" s="234"/>
      <c r="C206" s="125"/>
      <c r="D206" s="115"/>
      <c r="E206" s="116"/>
      <c r="F206" s="70"/>
      <c r="G206" s="70"/>
      <c r="H206" s="70"/>
      <c r="I206" s="367"/>
      <c r="J206" s="70"/>
      <c r="K206" s="371"/>
      <c r="L206" s="320"/>
      <c r="O206" s="142"/>
      <c r="P206" s="142"/>
    </row>
    <row r="207" spans="1:16" ht="15" customHeight="1">
      <c r="A207" s="234"/>
      <c r="B207" s="234"/>
      <c r="C207" s="125"/>
      <c r="D207" s="497" t="s">
        <v>564</v>
      </c>
      <c r="E207" s="497"/>
      <c r="F207" s="303"/>
      <c r="I207" s="367"/>
      <c r="J207" s="497" t="s">
        <v>549</v>
      </c>
      <c r="K207" s="497"/>
      <c r="L207" s="497"/>
      <c r="O207" s="142"/>
      <c r="P207" s="142"/>
    </row>
    <row r="208" spans="1:16" ht="15" customHeight="1">
      <c r="A208" s="234"/>
      <c r="B208" s="234"/>
      <c r="C208" s="125"/>
      <c r="D208" s="499" t="s">
        <v>576</v>
      </c>
      <c r="E208" s="499"/>
      <c r="F208" s="302"/>
      <c r="I208" s="367"/>
      <c r="J208" s="497" t="s">
        <v>550</v>
      </c>
      <c r="K208" s="497"/>
      <c r="L208" s="497"/>
      <c r="O208" s="142"/>
      <c r="P208" s="142"/>
    </row>
    <row r="209" spans="1:16" ht="15" customHeight="1">
      <c r="A209" s="234"/>
      <c r="B209" s="234"/>
      <c r="C209" s="125"/>
      <c r="D209" s="324"/>
      <c r="E209" s="324"/>
      <c r="F209" s="302"/>
      <c r="I209" s="367"/>
      <c r="J209" s="323"/>
      <c r="K209" s="372"/>
      <c r="L209" s="323"/>
      <c r="O209" s="142"/>
      <c r="P209" s="142"/>
    </row>
    <row r="210" spans="1:16" ht="15" customHeight="1">
      <c r="A210" s="234"/>
      <c r="B210" s="234"/>
      <c r="C210" s="125"/>
      <c r="D210" s="324"/>
      <c r="E210" s="324"/>
      <c r="F210" s="302"/>
      <c r="I210" s="367"/>
      <c r="J210" s="323"/>
      <c r="K210" s="372"/>
      <c r="L210" s="323"/>
      <c r="O210" s="142"/>
      <c r="P210" s="142"/>
    </row>
    <row r="211" spans="1:16" ht="14.25">
      <c r="A211" s="307"/>
      <c r="B211" s="127"/>
      <c r="C211" s="125"/>
      <c r="D211" s="115"/>
      <c r="E211" s="116"/>
      <c r="F211" s="70"/>
      <c r="G211" s="70"/>
      <c r="H211" s="70"/>
      <c r="I211" s="367"/>
      <c r="J211" s="70"/>
      <c r="K211" s="371"/>
      <c r="L211" s="320"/>
      <c r="O211" s="142"/>
      <c r="P211" s="142"/>
    </row>
    <row r="212" spans="1:16" ht="14.25">
      <c r="A212" s="526" t="s">
        <v>485</v>
      </c>
      <c r="B212" s="526"/>
      <c r="C212" s="526"/>
      <c r="D212" s="526"/>
      <c r="E212" s="116"/>
      <c r="F212" s="70"/>
      <c r="G212" s="70"/>
      <c r="H212" s="70"/>
      <c r="I212" s="369"/>
      <c r="J212" s="70"/>
      <c r="K212" s="369"/>
      <c r="L212" s="70"/>
      <c r="O212" s="142"/>
      <c r="P212" s="142"/>
    </row>
    <row r="213" spans="1:16" ht="14.25">
      <c r="A213" s="527" t="s">
        <v>507</v>
      </c>
      <c r="B213" s="527"/>
      <c r="C213" s="527"/>
      <c r="D213" s="527"/>
      <c r="E213" s="116"/>
      <c r="F213" s="70"/>
      <c r="G213" s="70"/>
      <c r="H213" s="70"/>
      <c r="I213" s="369"/>
      <c r="J213" s="70"/>
      <c r="K213" s="369"/>
      <c r="L213" s="70"/>
      <c r="O213" s="142"/>
      <c r="P213" s="142"/>
    </row>
    <row r="214" spans="1:16" ht="14.25">
      <c r="A214" s="233"/>
      <c r="B214" s="233"/>
      <c r="C214" s="125"/>
      <c r="D214" s="115"/>
      <c r="E214" s="116"/>
      <c r="F214" s="70"/>
      <c r="G214" s="70"/>
      <c r="H214" s="70"/>
      <c r="I214" s="369"/>
      <c r="J214" s="70"/>
      <c r="K214" s="369"/>
      <c r="L214" s="70"/>
      <c r="O214" s="142"/>
      <c r="P214" s="142"/>
    </row>
    <row r="215" spans="1:16" ht="14.25">
      <c r="A215" s="233"/>
      <c r="B215" s="233"/>
      <c r="C215" s="125"/>
      <c r="D215" s="115"/>
      <c r="E215" s="116"/>
      <c r="F215" s="70"/>
      <c r="G215" s="70"/>
      <c r="H215" s="70"/>
      <c r="I215" s="369"/>
      <c r="J215" s="70"/>
      <c r="K215" s="369"/>
      <c r="L215" s="70"/>
      <c r="O215" s="142"/>
      <c r="P215" s="142"/>
    </row>
    <row r="216" spans="1:16" ht="14.25">
      <c r="A216" s="127"/>
      <c r="B216" s="127"/>
      <c r="C216" s="125"/>
      <c r="D216" s="115"/>
      <c r="E216" s="116"/>
      <c r="F216" s="70"/>
      <c r="G216" s="70"/>
      <c r="H216" s="70"/>
      <c r="I216" s="369"/>
      <c r="J216" s="70"/>
      <c r="K216" s="369"/>
      <c r="L216" s="70"/>
      <c r="O216" s="142"/>
      <c r="P216" s="142"/>
    </row>
    <row r="217" spans="1:16" ht="14.25">
      <c r="A217" s="127"/>
      <c r="B217" s="498" t="s">
        <v>508</v>
      </c>
      <c r="C217" s="498"/>
      <c r="D217" s="498"/>
      <c r="E217" s="498"/>
      <c r="F217" s="70"/>
      <c r="G217" s="70"/>
      <c r="H217" s="70"/>
      <c r="I217" s="369"/>
      <c r="J217" s="70"/>
      <c r="K217" s="369"/>
      <c r="L217" s="70"/>
      <c r="O217" s="142"/>
      <c r="P217" s="142"/>
    </row>
    <row r="218" spans="7:16" ht="12.75">
      <c r="G218" s="142"/>
      <c r="H218" s="142"/>
      <c r="O218" s="142"/>
      <c r="P218" s="142"/>
    </row>
    <row r="219" spans="7:16" ht="12.75">
      <c r="G219" s="142"/>
      <c r="H219" s="142"/>
      <c r="O219" s="142"/>
      <c r="P219" s="142"/>
    </row>
    <row r="220" spans="7:16" ht="12.75">
      <c r="G220" s="142"/>
      <c r="H220" s="142"/>
      <c r="O220" s="142"/>
      <c r="P220" s="142"/>
    </row>
    <row r="221" spans="7:16" ht="12.75">
      <c r="G221" s="142"/>
      <c r="H221" s="142"/>
      <c r="O221" s="142"/>
      <c r="P221" s="142"/>
    </row>
    <row r="222" spans="7:16" ht="12.75">
      <c r="G222" s="142"/>
      <c r="H222" s="142"/>
      <c r="O222" s="142"/>
      <c r="P222" s="142"/>
    </row>
    <row r="223" spans="7:16" ht="12.75">
      <c r="G223" s="142"/>
      <c r="H223" s="142"/>
      <c r="O223" s="142"/>
      <c r="P223" s="142"/>
    </row>
    <row r="224" spans="7:16" ht="12.75">
      <c r="G224" s="142"/>
      <c r="H224" s="142"/>
      <c r="O224" s="142"/>
      <c r="P224" s="142"/>
    </row>
    <row r="225" spans="7:16" ht="12.75">
      <c r="G225" s="142"/>
      <c r="H225" s="142"/>
      <c r="O225" s="142"/>
      <c r="P225" s="142"/>
    </row>
    <row r="226" spans="7:16" ht="12.75">
      <c r="G226" s="142"/>
      <c r="H226" s="142"/>
      <c r="O226" s="142"/>
      <c r="P226" s="142"/>
    </row>
    <row r="227" spans="7:16" ht="12.75">
      <c r="G227" s="142"/>
      <c r="H227" s="142"/>
      <c r="O227" s="142"/>
      <c r="P227" s="142"/>
    </row>
    <row r="228" spans="7:16" ht="12.75">
      <c r="G228" s="142"/>
      <c r="H228" s="142"/>
      <c r="O228" s="142"/>
      <c r="P228" s="142"/>
    </row>
    <row r="229" spans="7:16" ht="12.75">
      <c r="G229" s="142"/>
      <c r="H229" s="142"/>
      <c r="O229" s="142"/>
      <c r="P229" s="142"/>
    </row>
    <row r="230" spans="7:16" ht="12.75">
      <c r="G230" s="142"/>
      <c r="H230" s="142"/>
      <c r="O230" s="142"/>
      <c r="P230" s="142"/>
    </row>
    <row r="231" spans="7:16" ht="12.75">
      <c r="G231" s="142"/>
      <c r="H231" s="142"/>
      <c r="O231" s="142"/>
      <c r="P231" s="142"/>
    </row>
    <row r="232" spans="7:16" ht="12.75">
      <c r="G232" s="142"/>
      <c r="H232" s="142"/>
      <c r="O232" s="142"/>
      <c r="P232" s="142"/>
    </row>
    <row r="233" spans="7:16" ht="12.75">
      <c r="G233" s="142"/>
      <c r="H233" s="142"/>
      <c r="O233" s="142"/>
      <c r="P233" s="142"/>
    </row>
    <row r="234" spans="7:16" ht="12.75">
      <c r="G234" s="142"/>
      <c r="H234" s="142"/>
      <c r="O234" s="142"/>
      <c r="P234" s="142"/>
    </row>
    <row r="235" spans="7:16" ht="12.75">
      <c r="G235" s="142"/>
      <c r="H235" s="142"/>
      <c r="O235" s="142"/>
      <c r="P235" s="142"/>
    </row>
    <row r="236" spans="7:16" ht="12.75">
      <c r="G236" s="142"/>
      <c r="H236" s="142"/>
      <c r="O236" s="142"/>
      <c r="P236" s="142"/>
    </row>
    <row r="237" spans="7:16" ht="12.75">
      <c r="G237" s="142"/>
      <c r="H237" s="142"/>
      <c r="O237" s="142"/>
      <c r="P237" s="142"/>
    </row>
    <row r="238" spans="7:16" ht="12.75">
      <c r="G238" s="142"/>
      <c r="H238" s="142"/>
      <c r="O238" s="142"/>
      <c r="P238" s="142"/>
    </row>
    <row r="239" spans="7:16" ht="12.75">
      <c r="G239" s="142"/>
      <c r="H239" s="142"/>
      <c r="O239" s="142"/>
      <c r="P239" s="142"/>
    </row>
    <row r="240" spans="7:16" ht="12.75">
      <c r="G240" s="142"/>
      <c r="H240" s="142"/>
      <c r="O240" s="142"/>
      <c r="P240" s="142"/>
    </row>
    <row r="241" spans="7:16" ht="12.75">
      <c r="G241" s="142"/>
      <c r="H241" s="142"/>
      <c r="O241" s="142"/>
      <c r="P241" s="142"/>
    </row>
    <row r="242" spans="7:16" ht="12.75">
      <c r="G242" s="142"/>
      <c r="H242" s="142"/>
      <c r="O242" s="142"/>
      <c r="P242" s="142"/>
    </row>
    <row r="243" spans="7:16" ht="12.75">
      <c r="G243" s="142"/>
      <c r="H243" s="142"/>
      <c r="O243" s="142"/>
      <c r="P243" s="142"/>
    </row>
    <row r="244" spans="7:16" ht="12.75">
      <c r="G244" s="142"/>
      <c r="H244" s="142"/>
      <c r="O244" s="142"/>
      <c r="P244" s="142"/>
    </row>
    <row r="245" spans="7:16" ht="12.75">
      <c r="G245" s="142"/>
      <c r="H245" s="142"/>
      <c r="O245" s="142"/>
      <c r="P245" s="142"/>
    </row>
    <row r="246" spans="7:16" ht="12.75">
      <c r="G246" s="142"/>
      <c r="H246" s="142"/>
      <c r="O246" s="142"/>
      <c r="P246" s="142"/>
    </row>
    <row r="247" spans="7:16" ht="12.75">
      <c r="G247" s="142"/>
      <c r="H247" s="142"/>
      <c r="O247" s="142"/>
      <c r="P247" s="142"/>
    </row>
    <row r="248" spans="7:16" ht="12.75">
      <c r="G248" s="142"/>
      <c r="H248" s="142"/>
      <c r="O248" s="142"/>
      <c r="P248" s="142"/>
    </row>
    <row r="249" spans="7:16" ht="12.75">
      <c r="G249" s="142"/>
      <c r="H249" s="142"/>
      <c r="O249" s="142"/>
      <c r="P249" s="142"/>
    </row>
    <row r="250" spans="7:16" ht="12.75">
      <c r="G250" s="142"/>
      <c r="H250" s="142"/>
      <c r="O250" s="142"/>
      <c r="P250" s="142"/>
    </row>
    <row r="251" spans="7:16" ht="12.75">
      <c r="G251" s="142"/>
      <c r="H251" s="142"/>
      <c r="O251" s="142"/>
      <c r="P251" s="142"/>
    </row>
    <row r="252" spans="7:16" ht="12.75">
      <c r="G252" s="142"/>
      <c r="H252" s="142"/>
      <c r="O252" s="142"/>
      <c r="P252" s="142"/>
    </row>
    <row r="253" spans="7:16" ht="12.75">
      <c r="G253" s="142"/>
      <c r="H253" s="142"/>
      <c r="O253" s="142"/>
      <c r="P253" s="142"/>
    </row>
    <row r="254" spans="7:16" ht="12.75">
      <c r="G254" s="142"/>
      <c r="H254" s="142"/>
      <c r="O254" s="142"/>
      <c r="P254" s="142"/>
    </row>
    <row r="255" spans="7:16" ht="12.75">
      <c r="G255" s="142"/>
      <c r="H255" s="142"/>
      <c r="O255" s="142"/>
      <c r="P255" s="142"/>
    </row>
    <row r="256" spans="7:16" ht="12.75">
      <c r="G256" s="142"/>
      <c r="H256" s="142"/>
      <c r="O256" s="142"/>
      <c r="P256" s="142"/>
    </row>
    <row r="257" spans="7:16" ht="12.75">
      <c r="G257" s="142"/>
      <c r="H257" s="142"/>
      <c r="O257" s="142"/>
      <c r="P257" s="142"/>
    </row>
    <row r="258" spans="7:16" ht="12.75">
      <c r="G258" s="142"/>
      <c r="H258" s="142"/>
      <c r="O258" s="142"/>
      <c r="P258" s="142"/>
    </row>
    <row r="259" spans="7:16" ht="12.75">
      <c r="G259" s="142"/>
      <c r="H259" s="142"/>
      <c r="O259" s="142"/>
      <c r="P259" s="142"/>
    </row>
    <row r="260" spans="7:16" ht="12.75">
      <c r="G260" s="142"/>
      <c r="H260" s="142"/>
      <c r="O260" s="142"/>
      <c r="P260" s="142"/>
    </row>
    <row r="261" spans="7:16" ht="12.75">
      <c r="G261" s="142"/>
      <c r="H261" s="142"/>
      <c r="O261" s="142"/>
      <c r="P261" s="142"/>
    </row>
    <row r="262" spans="7:16" ht="12.75">
      <c r="G262" s="142"/>
      <c r="H262" s="142"/>
      <c r="O262" s="142"/>
      <c r="P262" s="142"/>
    </row>
    <row r="263" spans="7:16" ht="12.75">
      <c r="G263" s="142"/>
      <c r="H263" s="142"/>
      <c r="O263" s="142"/>
      <c r="P263" s="142"/>
    </row>
    <row r="264" spans="7:16" ht="12.75">
      <c r="G264" s="142"/>
      <c r="H264" s="142"/>
      <c r="O264" s="142"/>
      <c r="P264" s="142"/>
    </row>
    <row r="265" spans="7:16" ht="12.75">
      <c r="G265" s="142"/>
      <c r="H265" s="142"/>
      <c r="O265" s="142"/>
      <c r="P265" s="142"/>
    </row>
    <row r="266" spans="7:16" ht="12.75">
      <c r="G266" s="142"/>
      <c r="H266" s="142"/>
      <c r="O266" s="142"/>
      <c r="P266" s="142"/>
    </row>
    <row r="267" spans="7:16" ht="12.75">
      <c r="G267" s="142"/>
      <c r="H267" s="142"/>
      <c r="O267" s="142"/>
      <c r="P267" s="142"/>
    </row>
    <row r="268" spans="7:16" ht="12.75">
      <c r="G268" s="142"/>
      <c r="H268" s="142"/>
      <c r="O268" s="142"/>
      <c r="P268" s="142"/>
    </row>
    <row r="269" spans="7:16" ht="12.75">
      <c r="G269" s="142"/>
      <c r="H269" s="142"/>
      <c r="O269" s="142"/>
      <c r="P269" s="142"/>
    </row>
    <row r="270" spans="7:16" ht="12.75">
      <c r="G270" s="142"/>
      <c r="H270" s="142"/>
      <c r="O270" s="142"/>
      <c r="P270" s="142"/>
    </row>
    <row r="271" spans="7:16" ht="12.75">
      <c r="G271" s="142"/>
      <c r="H271" s="142"/>
      <c r="O271" s="142"/>
      <c r="P271" s="142"/>
    </row>
    <row r="272" spans="7:16" ht="12.75">
      <c r="G272" s="142"/>
      <c r="H272" s="142"/>
      <c r="O272" s="142"/>
      <c r="P272" s="142"/>
    </row>
    <row r="273" spans="7:16" ht="12.75">
      <c r="G273" s="142"/>
      <c r="H273" s="142"/>
      <c r="O273" s="142"/>
      <c r="P273" s="142"/>
    </row>
    <row r="274" spans="7:16" ht="12.75">
      <c r="G274" s="142"/>
      <c r="H274" s="142"/>
      <c r="O274" s="142"/>
      <c r="P274" s="142"/>
    </row>
    <row r="275" spans="7:16" ht="12.75">
      <c r="G275" s="142"/>
      <c r="H275" s="142"/>
      <c r="O275" s="142"/>
      <c r="P275" s="142"/>
    </row>
    <row r="276" spans="7:16" ht="12.75">
      <c r="G276" s="142"/>
      <c r="H276" s="142"/>
      <c r="O276" s="142"/>
      <c r="P276" s="142"/>
    </row>
    <row r="277" spans="7:16" ht="12.75">
      <c r="G277" s="142"/>
      <c r="H277" s="142"/>
      <c r="O277" s="142"/>
      <c r="P277" s="142"/>
    </row>
    <row r="278" spans="7:16" ht="12.75">
      <c r="G278" s="142"/>
      <c r="H278" s="142"/>
      <c r="O278" s="142"/>
      <c r="P278" s="142"/>
    </row>
    <row r="279" spans="7:16" ht="12.75">
      <c r="G279" s="142"/>
      <c r="H279" s="142"/>
      <c r="O279" s="142"/>
      <c r="P279" s="142"/>
    </row>
    <row r="280" spans="7:16" ht="12.75">
      <c r="G280" s="142"/>
      <c r="H280" s="142"/>
      <c r="O280" s="142"/>
      <c r="P280" s="142"/>
    </row>
    <row r="281" spans="7:16" ht="12.75">
      <c r="G281" s="142"/>
      <c r="H281" s="142"/>
      <c r="O281" s="142"/>
      <c r="P281" s="142"/>
    </row>
    <row r="282" spans="7:16" ht="12.75">
      <c r="G282" s="142"/>
      <c r="H282" s="142"/>
      <c r="O282" s="142"/>
      <c r="P282" s="142"/>
    </row>
    <row r="283" spans="7:16" ht="12.75">
      <c r="G283" s="142"/>
      <c r="H283" s="142"/>
      <c r="O283" s="142"/>
      <c r="P283" s="142"/>
    </row>
    <row r="284" spans="7:16" ht="12.75">
      <c r="G284" s="142"/>
      <c r="H284" s="142"/>
      <c r="O284" s="142"/>
      <c r="P284" s="142"/>
    </row>
    <row r="285" spans="7:16" ht="12.75">
      <c r="G285" s="142"/>
      <c r="H285" s="142"/>
      <c r="O285" s="142"/>
      <c r="P285" s="142"/>
    </row>
    <row r="286" spans="7:16" ht="12.75">
      <c r="G286" s="142"/>
      <c r="H286" s="142"/>
      <c r="O286" s="142"/>
      <c r="P286" s="142"/>
    </row>
    <row r="287" spans="7:16" ht="12.75">
      <c r="G287" s="142"/>
      <c r="H287" s="142"/>
      <c r="O287" s="142"/>
      <c r="P287" s="142"/>
    </row>
    <row r="288" spans="7:16" ht="12.75">
      <c r="G288" s="142"/>
      <c r="H288" s="142"/>
      <c r="O288" s="142"/>
      <c r="P288" s="142"/>
    </row>
    <row r="289" spans="7:16" ht="12.75">
      <c r="G289" s="142"/>
      <c r="H289" s="142"/>
      <c r="O289" s="142"/>
      <c r="P289" s="142"/>
    </row>
    <row r="290" spans="7:16" ht="12.75">
      <c r="G290" s="142"/>
      <c r="H290" s="142"/>
      <c r="O290" s="142"/>
      <c r="P290" s="142"/>
    </row>
    <row r="291" spans="7:16" ht="12.75">
      <c r="G291" s="142"/>
      <c r="H291" s="142"/>
      <c r="O291" s="142"/>
      <c r="P291" s="142"/>
    </row>
    <row r="292" spans="7:16" ht="12.75">
      <c r="G292" s="142"/>
      <c r="H292" s="142"/>
      <c r="O292" s="142"/>
      <c r="P292" s="142"/>
    </row>
    <row r="293" spans="7:16" ht="12.75">
      <c r="G293" s="142"/>
      <c r="H293" s="142"/>
      <c r="O293" s="142"/>
      <c r="P293" s="142"/>
    </row>
    <row r="294" spans="7:16" ht="12.75">
      <c r="G294" s="142"/>
      <c r="H294" s="142"/>
      <c r="O294" s="142"/>
      <c r="P294" s="142"/>
    </row>
    <row r="295" spans="7:16" ht="12.75">
      <c r="G295" s="142"/>
      <c r="H295" s="142"/>
      <c r="O295" s="142"/>
      <c r="P295" s="142"/>
    </row>
    <row r="296" spans="7:16" ht="12.75">
      <c r="G296" s="142"/>
      <c r="H296" s="142"/>
      <c r="O296" s="142"/>
      <c r="P296" s="142"/>
    </row>
    <row r="297" spans="7:16" ht="12.75">
      <c r="G297" s="142"/>
      <c r="H297" s="142"/>
      <c r="O297" s="142"/>
      <c r="P297" s="142"/>
    </row>
    <row r="298" spans="7:16" ht="12.75">
      <c r="G298" s="142"/>
      <c r="H298" s="142"/>
      <c r="O298" s="142"/>
      <c r="P298" s="142"/>
    </row>
    <row r="299" spans="7:16" ht="12.75">
      <c r="G299" s="142"/>
      <c r="H299" s="142"/>
      <c r="O299" s="142"/>
      <c r="P299" s="142"/>
    </row>
    <row r="300" spans="7:16" ht="12.75">
      <c r="G300" s="142"/>
      <c r="H300" s="142"/>
      <c r="O300" s="142"/>
      <c r="P300" s="142"/>
    </row>
    <row r="301" spans="7:16" ht="12.75">
      <c r="G301" s="142"/>
      <c r="H301" s="142"/>
      <c r="O301" s="142"/>
      <c r="P301" s="142"/>
    </row>
    <row r="302" spans="7:16" ht="12.75">
      <c r="G302" s="142"/>
      <c r="H302" s="142"/>
      <c r="O302" s="142"/>
      <c r="P302" s="142"/>
    </row>
    <row r="303" spans="7:16" ht="12.75">
      <c r="G303" s="142"/>
      <c r="H303" s="142"/>
      <c r="O303" s="142"/>
      <c r="P303" s="142"/>
    </row>
    <row r="304" spans="7:16" ht="12.75">
      <c r="G304" s="142"/>
      <c r="H304" s="142"/>
      <c r="O304" s="142"/>
      <c r="P304" s="142"/>
    </row>
    <row r="305" spans="7:16" ht="12.75">
      <c r="G305" s="142"/>
      <c r="H305" s="142"/>
      <c r="O305" s="142"/>
      <c r="P305" s="142"/>
    </row>
    <row r="306" spans="7:8" ht="12.75">
      <c r="G306" s="142"/>
      <c r="H306" s="142"/>
    </row>
    <row r="307" spans="7:8" ht="12.75">
      <c r="G307" s="142"/>
      <c r="H307" s="142"/>
    </row>
    <row r="308" spans="7:8" ht="12.75">
      <c r="G308" s="142"/>
      <c r="H308" s="142"/>
    </row>
    <row r="309" spans="7:8" ht="12.75">
      <c r="G309" s="142"/>
      <c r="H309" s="142"/>
    </row>
    <row r="310" spans="7:8" ht="12.75">
      <c r="G310" s="142"/>
      <c r="H310" s="142"/>
    </row>
    <row r="311" spans="7:8" ht="12.75">
      <c r="G311" s="142"/>
      <c r="H311" s="142"/>
    </row>
    <row r="312" spans="7:8" ht="12.75">
      <c r="G312" s="142"/>
      <c r="H312" s="142"/>
    </row>
    <row r="313" spans="7:8" ht="12.75">
      <c r="G313" s="142"/>
      <c r="H313" s="142"/>
    </row>
    <row r="314" spans="7:8" ht="12.75">
      <c r="G314" s="142"/>
      <c r="H314" s="142"/>
    </row>
    <row r="315" spans="7:8" ht="12.75">
      <c r="G315" s="142"/>
      <c r="H315" s="142"/>
    </row>
    <row r="316" spans="7:8" ht="12.75">
      <c r="G316" s="142"/>
      <c r="H316" s="142"/>
    </row>
    <row r="317" spans="7:8" ht="12.75">
      <c r="G317" s="142"/>
      <c r="H317" s="142"/>
    </row>
    <row r="318" spans="7:8" ht="12.75">
      <c r="G318" s="142"/>
      <c r="H318" s="142"/>
    </row>
    <row r="319" spans="7:8" ht="12.75">
      <c r="G319" s="142"/>
      <c r="H319" s="142"/>
    </row>
    <row r="320" spans="7:8" ht="12.75">
      <c r="G320" s="142"/>
      <c r="H320" s="142"/>
    </row>
    <row r="321" spans="7:8" ht="12.75">
      <c r="G321" s="142"/>
      <c r="H321" s="142"/>
    </row>
    <row r="322" spans="7:8" ht="12.75">
      <c r="G322" s="142"/>
      <c r="H322" s="142"/>
    </row>
    <row r="323" spans="7:8" ht="12.75">
      <c r="G323" s="142"/>
      <c r="H323" s="142"/>
    </row>
    <row r="324" spans="7:8" ht="12.75">
      <c r="G324" s="142"/>
      <c r="H324" s="142"/>
    </row>
    <row r="325" spans="7:8" ht="12.75">
      <c r="G325" s="142"/>
      <c r="H325" s="142"/>
    </row>
    <row r="326" spans="7:8" ht="12.75">
      <c r="G326" s="142"/>
      <c r="H326" s="142"/>
    </row>
    <row r="327" spans="7:8" ht="12.75">
      <c r="G327" s="142"/>
      <c r="H327" s="142"/>
    </row>
    <row r="328" spans="7:8" ht="12.75">
      <c r="G328" s="142"/>
      <c r="H328" s="142"/>
    </row>
    <row r="329" spans="7:8" ht="12.75">
      <c r="G329" s="142"/>
      <c r="H329" s="142"/>
    </row>
    <row r="330" spans="7:8" ht="12.75">
      <c r="G330" s="142"/>
      <c r="H330" s="142"/>
    </row>
    <row r="331" spans="7:8" ht="12.75">
      <c r="G331" s="142"/>
      <c r="H331" s="142"/>
    </row>
    <row r="332" spans="7:8" ht="12.75">
      <c r="G332" s="142"/>
      <c r="H332" s="142"/>
    </row>
    <row r="333" spans="7:8" ht="12.75">
      <c r="G333" s="142"/>
      <c r="H333" s="142"/>
    </row>
    <row r="334" spans="7:8" ht="12.75">
      <c r="G334" s="142"/>
      <c r="H334" s="142"/>
    </row>
    <row r="335" spans="7:8" ht="12.75">
      <c r="G335" s="142"/>
      <c r="H335" s="142"/>
    </row>
    <row r="336" spans="7:8" ht="12.75">
      <c r="G336" s="142"/>
      <c r="H336" s="142"/>
    </row>
    <row r="337" spans="7:8" ht="12.75">
      <c r="G337" s="142"/>
      <c r="H337" s="142"/>
    </row>
    <row r="338" spans="7:8" ht="12.75">
      <c r="G338" s="142"/>
      <c r="H338" s="142"/>
    </row>
    <row r="339" spans="7:8" ht="12.75">
      <c r="G339" s="142"/>
      <c r="H339" s="142"/>
    </row>
    <row r="340" spans="7:8" ht="12.75">
      <c r="G340" s="142"/>
      <c r="H340" s="142"/>
    </row>
    <row r="341" spans="7:8" ht="12.75">
      <c r="G341" s="142"/>
      <c r="H341" s="142"/>
    </row>
    <row r="342" spans="7:8" ht="12.75">
      <c r="G342" s="142"/>
      <c r="H342" s="142"/>
    </row>
    <row r="343" spans="7:8" ht="12.75">
      <c r="G343" s="142"/>
      <c r="H343" s="142"/>
    </row>
    <row r="344" spans="7:8" ht="12.75">
      <c r="G344" s="142"/>
      <c r="H344" s="142"/>
    </row>
    <row r="345" spans="7:8" ht="12.75">
      <c r="G345" s="142"/>
      <c r="H345" s="142"/>
    </row>
  </sheetData>
  <sheetProtection/>
  <mergeCells count="150">
    <mergeCell ref="B217:E217"/>
    <mergeCell ref="D207:E207"/>
    <mergeCell ref="D208:E208"/>
    <mergeCell ref="A212:D212"/>
    <mergeCell ref="A213:D213"/>
    <mergeCell ref="J207:L207"/>
    <mergeCell ref="J208:L208"/>
    <mergeCell ref="E201:F201"/>
    <mergeCell ref="A202:D202"/>
    <mergeCell ref="E202:F202"/>
    <mergeCell ref="G201:I201"/>
    <mergeCell ref="G202:I202"/>
    <mergeCell ref="A201:D201"/>
    <mergeCell ref="J201:N201"/>
    <mergeCell ref="J202:N202"/>
    <mergeCell ref="F192:I192"/>
    <mergeCell ref="J192:L192"/>
    <mergeCell ref="E195:G195"/>
    <mergeCell ref="E196:G196"/>
    <mergeCell ref="J195:N195"/>
    <mergeCell ref="J196:N196"/>
    <mergeCell ref="A191:E191"/>
    <mergeCell ref="F191:J191"/>
    <mergeCell ref="D173:E173"/>
    <mergeCell ref="D179:E179"/>
    <mergeCell ref="D180:E180"/>
    <mergeCell ref="A190:E190"/>
    <mergeCell ref="F190:J190"/>
    <mergeCell ref="D178:E178"/>
    <mergeCell ref="A185:N185"/>
    <mergeCell ref="A184:N184"/>
    <mergeCell ref="D154:E154"/>
    <mergeCell ref="D155:E155"/>
    <mergeCell ref="D177:E177"/>
    <mergeCell ref="D150:E150"/>
    <mergeCell ref="D152:E152"/>
    <mergeCell ref="D164:E164"/>
    <mergeCell ref="D165:E165"/>
    <mergeCell ref="D176:E176"/>
    <mergeCell ref="D172:E172"/>
    <mergeCell ref="D109:E109"/>
    <mergeCell ref="D110:E110"/>
    <mergeCell ref="D111:E111"/>
    <mergeCell ref="C113:E113"/>
    <mergeCell ref="D112:E112"/>
    <mergeCell ref="D107:E107"/>
    <mergeCell ref="D108:E108"/>
    <mergeCell ref="D90:E90"/>
    <mergeCell ref="D91:E91"/>
    <mergeCell ref="D92:E92"/>
    <mergeCell ref="D93:E93"/>
    <mergeCell ref="D94:E94"/>
    <mergeCell ref="D105:E105"/>
    <mergeCell ref="D103:E103"/>
    <mergeCell ref="C104:E104"/>
    <mergeCell ref="D89:E89"/>
    <mergeCell ref="D75:E75"/>
    <mergeCell ref="D63:E63"/>
    <mergeCell ref="D71:E71"/>
    <mergeCell ref="D82:E82"/>
    <mergeCell ref="D87:E87"/>
    <mergeCell ref="D88:E88"/>
    <mergeCell ref="D73:E73"/>
    <mergeCell ref="D64:E64"/>
    <mergeCell ref="D44:E44"/>
    <mergeCell ref="D72:E72"/>
    <mergeCell ref="D56:E56"/>
    <mergeCell ref="D67:E67"/>
    <mergeCell ref="D70:E70"/>
    <mergeCell ref="D61:E61"/>
    <mergeCell ref="D46:E46"/>
    <mergeCell ref="D45:E45"/>
    <mergeCell ref="B48:E48"/>
    <mergeCell ref="D62:E62"/>
    <mergeCell ref="A9:N9"/>
    <mergeCell ref="G13:G14"/>
    <mergeCell ref="H13:H14"/>
    <mergeCell ref="N13:N14"/>
    <mergeCell ref="K13:K14"/>
    <mergeCell ref="A13:C14"/>
    <mergeCell ref="D13:E14"/>
    <mergeCell ref="I13:I14"/>
    <mergeCell ref="F13:F14"/>
    <mergeCell ref="M13:M14"/>
    <mergeCell ref="L13:L14"/>
    <mergeCell ref="J13:J14"/>
    <mergeCell ref="D43:E43"/>
    <mergeCell ref="D41:E41"/>
    <mergeCell ref="D31:E31"/>
    <mergeCell ref="D32:E32"/>
    <mergeCell ref="D42:E42"/>
    <mergeCell ref="D15:E15"/>
    <mergeCell ref="D16:E16"/>
    <mergeCell ref="D33:E33"/>
    <mergeCell ref="D60:E60"/>
    <mergeCell ref="C147:E147"/>
    <mergeCell ref="D148:E148"/>
    <mergeCell ref="D106:E106"/>
    <mergeCell ref="D117:E117"/>
    <mergeCell ref="D116:E116"/>
    <mergeCell ref="D118:E118"/>
    <mergeCell ref="D119:E119"/>
    <mergeCell ref="D120:E120"/>
    <mergeCell ref="D127:E127"/>
    <mergeCell ref="B15:C15"/>
    <mergeCell ref="A17:A47"/>
    <mergeCell ref="B18:B32"/>
    <mergeCell ref="D18:E18"/>
    <mergeCell ref="D26:E26"/>
    <mergeCell ref="C27:C28"/>
    <mergeCell ref="B42:B46"/>
    <mergeCell ref="D47:E47"/>
    <mergeCell ref="D25:E25"/>
    <mergeCell ref="D17:E17"/>
    <mergeCell ref="D138:E138"/>
    <mergeCell ref="D151:E151"/>
    <mergeCell ref="D140:E140"/>
    <mergeCell ref="D144:E144"/>
    <mergeCell ref="D143:E143"/>
    <mergeCell ref="D141:E141"/>
    <mergeCell ref="D145:E145"/>
    <mergeCell ref="D146:E146"/>
    <mergeCell ref="D142:E142"/>
    <mergeCell ref="A49:A172"/>
    <mergeCell ref="C49:E49"/>
    <mergeCell ref="B52:B155"/>
    <mergeCell ref="C52:E52"/>
    <mergeCell ref="D53:E53"/>
    <mergeCell ref="D57:E57"/>
    <mergeCell ref="D131:E131"/>
    <mergeCell ref="D128:E128"/>
    <mergeCell ref="D129:E129"/>
    <mergeCell ref="D130:E130"/>
    <mergeCell ref="B165:B171"/>
    <mergeCell ref="D168:E168"/>
    <mergeCell ref="D171:E171"/>
    <mergeCell ref="C132:C138"/>
    <mergeCell ref="D135:E135"/>
    <mergeCell ref="C141:C146"/>
    <mergeCell ref="D149:E149"/>
    <mergeCell ref="D139:E139"/>
    <mergeCell ref="D153:E153"/>
    <mergeCell ref="D132:E132"/>
    <mergeCell ref="D114:E114"/>
    <mergeCell ref="C116:C118"/>
    <mergeCell ref="D125:E125"/>
    <mergeCell ref="D126:E126"/>
    <mergeCell ref="D115:E115"/>
    <mergeCell ref="D124:E124"/>
    <mergeCell ref="D123:E123"/>
  </mergeCells>
  <printOptions/>
  <pageMargins left="0.5905511811023623" right="0.15748031496062992" top="0.1968503937007874" bottom="0.1968503937007874" header="0.3937007874015748" footer="0.2755905511811024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1"/>
  <sheetViews>
    <sheetView zoomScalePageLayoutView="0" workbookViewId="0" topLeftCell="A1">
      <selection activeCell="C140" sqref="C140:D140"/>
    </sheetView>
  </sheetViews>
  <sheetFormatPr defaultColWidth="9.140625" defaultRowHeight="12.75"/>
  <cols>
    <col min="1" max="1" width="5.00390625" style="158" customWidth="1"/>
    <col min="2" max="2" width="5.57421875" style="158" customWidth="1"/>
    <col min="3" max="3" width="50.57421875" style="160" customWidth="1"/>
    <col min="4" max="4" width="14.140625" style="158" customWidth="1"/>
    <col min="5" max="5" width="13.421875" style="158" customWidth="1"/>
    <col min="6" max="6" width="16.140625" style="158" customWidth="1"/>
    <col min="7" max="7" width="13.7109375" style="158" customWidth="1"/>
    <col min="8" max="8" width="13.421875" style="158" customWidth="1"/>
    <col min="9" max="9" width="12.8515625" style="158" customWidth="1"/>
    <col min="10" max="11" width="14.28125" style="158" customWidth="1"/>
    <col min="12" max="12" width="11.8515625" style="158" customWidth="1"/>
    <col min="13" max="13" width="8.28125" style="158" customWidth="1"/>
    <col min="14" max="14" width="18.57421875" style="158" customWidth="1"/>
    <col min="15" max="15" width="11.00390625" style="158" customWidth="1"/>
    <col min="16" max="16" width="10.8515625" style="158" customWidth="1"/>
    <col min="17" max="17" width="10.140625" style="158" customWidth="1"/>
    <col min="18" max="18" width="10.57421875" style="158" customWidth="1"/>
    <col min="19" max="16384" width="9.140625" style="158" customWidth="1"/>
  </cols>
  <sheetData>
    <row r="1" spans="1:5" ht="15.75">
      <c r="A1" s="121" t="s">
        <v>0</v>
      </c>
      <c r="B1" s="155"/>
      <c r="C1" s="156"/>
      <c r="D1" s="155"/>
      <c r="E1" s="157"/>
    </row>
    <row r="2" spans="1:5" ht="15.75">
      <c r="A2" s="481" t="s">
        <v>1</v>
      </c>
      <c r="B2" s="481"/>
      <c r="C2" s="481"/>
      <c r="D2" s="481"/>
      <c r="E2" s="481"/>
    </row>
    <row r="3" spans="1:5" ht="15.75">
      <c r="A3" s="159" t="s">
        <v>2</v>
      </c>
      <c r="B3" s="155"/>
      <c r="C3" s="156"/>
      <c r="D3" s="155"/>
      <c r="E3" s="157"/>
    </row>
    <row r="4" spans="1:5" ht="15.75">
      <c r="A4" s="159" t="s">
        <v>3</v>
      </c>
      <c r="B4" s="155"/>
      <c r="C4" s="156"/>
      <c r="D4" s="155"/>
      <c r="E4" s="157"/>
    </row>
    <row r="5" spans="10:12" ht="15.75">
      <c r="J5" s="230" t="s">
        <v>340</v>
      </c>
      <c r="K5" s="230"/>
      <c r="L5" s="230"/>
    </row>
    <row r="7" spans="1:12" ht="15.75">
      <c r="A7" s="543" t="s">
        <v>341</v>
      </c>
      <c r="B7" s="543"/>
      <c r="C7" s="543"/>
      <c r="D7" s="543"/>
      <c r="E7" s="543"/>
      <c r="F7" s="543"/>
      <c r="G7" s="543"/>
      <c r="H7" s="543"/>
      <c r="I7" s="543"/>
      <c r="J7" s="543"/>
      <c r="K7" s="264"/>
      <c r="L7" s="264"/>
    </row>
    <row r="9" spans="10:12" ht="15.75">
      <c r="J9" s="162" t="s">
        <v>250</v>
      </c>
      <c r="K9" s="162"/>
      <c r="L9" s="162"/>
    </row>
    <row r="10" spans="1:12" ht="15.75" customHeight="1">
      <c r="A10" s="541"/>
      <c r="B10" s="541"/>
      <c r="C10" s="542" t="s">
        <v>5</v>
      </c>
      <c r="D10" s="542" t="s">
        <v>342</v>
      </c>
      <c r="E10" s="541" t="s">
        <v>578</v>
      </c>
      <c r="F10" s="541"/>
      <c r="G10" s="541"/>
      <c r="H10" s="541" t="s">
        <v>343</v>
      </c>
      <c r="I10" s="541"/>
      <c r="J10" s="541"/>
      <c r="K10" s="281"/>
      <c r="L10" s="281"/>
    </row>
    <row r="11" spans="1:12" ht="54" customHeight="1">
      <c r="A11" s="541"/>
      <c r="B11" s="541"/>
      <c r="C11" s="542"/>
      <c r="D11" s="542"/>
      <c r="E11" s="377" t="s">
        <v>583</v>
      </c>
      <c r="F11" s="431" t="s">
        <v>581</v>
      </c>
      <c r="G11" s="431" t="s">
        <v>344</v>
      </c>
      <c r="H11" s="431" t="s">
        <v>579</v>
      </c>
      <c r="I11" s="431" t="s">
        <v>509</v>
      </c>
      <c r="J11" s="431" t="s">
        <v>580</v>
      </c>
      <c r="K11" s="279"/>
      <c r="L11" s="279"/>
    </row>
    <row r="12" spans="1:18" s="166" customFormat="1" ht="12.75">
      <c r="A12" s="164">
        <v>0</v>
      </c>
      <c r="B12" s="164">
        <v>1</v>
      </c>
      <c r="C12" s="165">
        <v>2</v>
      </c>
      <c r="D12" s="165">
        <v>3</v>
      </c>
      <c r="E12" s="432">
        <v>4</v>
      </c>
      <c r="F12" s="433">
        <v>5</v>
      </c>
      <c r="G12" s="433">
        <v>6</v>
      </c>
      <c r="H12" s="433">
        <v>7</v>
      </c>
      <c r="I12" s="433">
        <v>8</v>
      </c>
      <c r="J12" s="433">
        <v>9</v>
      </c>
      <c r="K12" s="278"/>
      <c r="L12" s="278"/>
      <c r="M12" s="161"/>
      <c r="N12" s="161"/>
      <c r="O12" s="230" t="s">
        <v>611</v>
      </c>
      <c r="P12" s="230">
        <v>2016</v>
      </c>
      <c r="Q12" s="230">
        <v>2017</v>
      </c>
      <c r="R12" s="230">
        <v>2018</v>
      </c>
    </row>
    <row r="13" spans="1:18" ht="31.5">
      <c r="A13" s="163" t="s">
        <v>330</v>
      </c>
      <c r="B13" s="167" t="s">
        <v>330</v>
      </c>
      <c r="C13" s="168" t="s">
        <v>302</v>
      </c>
      <c r="D13" s="168"/>
      <c r="E13" s="434">
        <f aca="true" t="shared" si="0" ref="E13:J13">E14+E20+E21+E24</f>
        <v>2383032</v>
      </c>
      <c r="F13" s="434">
        <f t="shared" si="0"/>
        <v>1966753</v>
      </c>
      <c r="G13" s="434">
        <f t="shared" si="0"/>
        <v>1633263.4999999998</v>
      </c>
      <c r="H13" s="434">
        <f t="shared" si="0"/>
        <v>2508694.93</v>
      </c>
      <c r="I13" s="434">
        <f t="shared" si="0"/>
        <v>2710634.41727</v>
      </c>
      <c r="J13" s="434">
        <f t="shared" si="0"/>
        <v>2714407.65470175</v>
      </c>
      <c r="K13" s="277"/>
      <c r="L13" s="277"/>
      <c r="M13" s="267">
        <v>1</v>
      </c>
      <c r="N13" s="282"/>
      <c r="O13" s="268">
        <f>G13-G38</f>
        <v>88281.87000000011</v>
      </c>
      <c r="P13" s="268">
        <f>H13-H38</f>
        <v>613.0000000004657</v>
      </c>
      <c r="Q13" s="268">
        <f>I13-I38</f>
        <v>251</v>
      </c>
      <c r="R13" s="268">
        <f>J13-J38</f>
        <v>49</v>
      </c>
    </row>
    <row r="14" spans="1:18" ht="15.75">
      <c r="A14" s="169"/>
      <c r="B14" s="170">
        <v>1</v>
      </c>
      <c r="C14" s="168" t="s">
        <v>345</v>
      </c>
      <c r="D14" s="169"/>
      <c r="E14" s="435">
        <f aca="true" t="shared" si="1" ref="E14:J14">E15+E18+E19</f>
        <v>154669</v>
      </c>
      <c r="F14" s="435">
        <f t="shared" si="1"/>
        <v>154669</v>
      </c>
      <c r="G14" s="435">
        <f t="shared" si="1"/>
        <v>129975.37</v>
      </c>
      <c r="H14" s="435">
        <f t="shared" si="1"/>
        <v>141391.93000000002</v>
      </c>
      <c r="I14" s="435">
        <f t="shared" si="1"/>
        <v>141580.41727</v>
      </c>
      <c r="J14" s="435">
        <f t="shared" si="1"/>
        <v>141759.65470175003</v>
      </c>
      <c r="K14" s="276"/>
      <c r="L14" s="276"/>
      <c r="M14" s="267"/>
      <c r="N14" s="194"/>
      <c r="O14" s="194"/>
      <c r="P14" s="194"/>
      <c r="Q14" s="161"/>
      <c r="R14" s="161"/>
    </row>
    <row r="15" spans="1:18" s="161" customFormat="1" ht="15">
      <c r="A15" s="171"/>
      <c r="B15" s="172"/>
      <c r="C15" s="173" t="s">
        <v>346</v>
      </c>
      <c r="D15" s="174"/>
      <c r="E15" s="436">
        <f>'Anexa 2'!G154</f>
        <v>154669</v>
      </c>
      <c r="F15" s="436">
        <f>E15</f>
        <v>154669</v>
      </c>
      <c r="G15" s="437">
        <v>129975.37</v>
      </c>
      <c r="H15" s="438">
        <v>134410.92</v>
      </c>
      <c r="I15" s="438">
        <f>H15</f>
        <v>134410.92</v>
      </c>
      <c r="J15" s="438">
        <f>I15</f>
        <v>134410.92</v>
      </c>
      <c r="K15" s="275"/>
      <c r="L15" s="275"/>
      <c r="M15" s="267">
        <v>2</v>
      </c>
      <c r="N15" s="174" t="s">
        <v>522</v>
      </c>
      <c r="O15" s="280">
        <f>G15-G16-G17</f>
        <v>0</v>
      </c>
      <c r="P15" s="280">
        <f>H15-H16-H17</f>
        <v>0</v>
      </c>
      <c r="Q15" s="280">
        <f>I15-I16-I17</f>
        <v>0</v>
      </c>
      <c r="R15" s="280">
        <f>J15-J16-J17</f>
        <v>0</v>
      </c>
    </row>
    <row r="16" spans="1:18" s="161" customFormat="1" ht="15">
      <c r="A16" s="171"/>
      <c r="B16" s="172"/>
      <c r="C16" s="173" t="s">
        <v>347</v>
      </c>
      <c r="D16" s="174"/>
      <c r="E16" s="438">
        <f aca="true" t="shared" si="2" ref="E16:J16">E15-E17</f>
        <v>121005</v>
      </c>
      <c r="F16" s="438">
        <f t="shared" si="2"/>
        <v>121005</v>
      </c>
      <c r="G16" s="438">
        <f t="shared" si="2"/>
        <v>97023.51999999999</v>
      </c>
      <c r="H16" s="438">
        <f t="shared" si="2"/>
        <v>110151.92000000001</v>
      </c>
      <c r="I16" s="438">
        <f t="shared" si="2"/>
        <v>126056.92000000001</v>
      </c>
      <c r="J16" s="438">
        <f t="shared" si="2"/>
        <v>133557.92</v>
      </c>
      <c r="K16" s="275"/>
      <c r="L16" s="275"/>
      <c r="M16" s="267" t="s">
        <v>523</v>
      </c>
      <c r="N16" s="174"/>
      <c r="O16" s="280">
        <f>O13-O15</f>
        <v>88281.87000000011</v>
      </c>
      <c r="P16" s="280">
        <f>P13-P15</f>
        <v>613.0000000004657</v>
      </c>
      <c r="Q16" s="280">
        <f>Q13-Q15</f>
        <v>251</v>
      </c>
      <c r="R16" s="280">
        <f>R13-R15</f>
        <v>49</v>
      </c>
    </row>
    <row r="17" spans="1:18" s="161" customFormat="1" ht="15">
      <c r="A17" s="171"/>
      <c r="B17" s="172"/>
      <c r="C17" s="173" t="s">
        <v>348</v>
      </c>
      <c r="D17" s="174"/>
      <c r="E17" s="436">
        <v>33664</v>
      </c>
      <c r="F17" s="438">
        <f>E17</f>
        <v>33664</v>
      </c>
      <c r="G17" s="439">
        <v>32951.85</v>
      </c>
      <c r="H17" s="438">
        <v>24259</v>
      </c>
      <c r="I17" s="438">
        <v>8354</v>
      </c>
      <c r="J17" s="438">
        <v>853</v>
      </c>
      <c r="K17" s="275"/>
      <c r="L17" s="275"/>
      <c r="M17" s="267">
        <v>4</v>
      </c>
      <c r="N17" s="174" t="s">
        <v>520</v>
      </c>
      <c r="O17" s="280">
        <f aca="true" t="shared" si="3" ref="O17:R18">G27-G51</f>
        <v>0</v>
      </c>
      <c r="P17" s="280">
        <f t="shared" si="3"/>
        <v>0</v>
      </c>
      <c r="Q17" s="280">
        <f t="shared" si="3"/>
        <v>0</v>
      </c>
      <c r="R17" s="280">
        <f t="shared" si="3"/>
        <v>0</v>
      </c>
    </row>
    <row r="18" spans="1:18" s="161" customFormat="1" ht="15">
      <c r="A18" s="171"/>
      <c r="B18" s="172"/>
      <c r="C18" s="173" t="s">
        <v>349</v>
      </c>
      <c r="D18" s="174"/>
      <c r="E18" s="436"/>
      <c r="F18" s="438"/>
      <c r="G18" s="438"/>
      <c r="H18" s="438"/>
      <c r="I18" s="438"/>
      <c r="J18" s="440"/>
      <c r="K18" s="194"/>
      <c r="L18" s="194"/>
      <c r="M18" s="267">
        <v>5</v>
      </c>
      <c r="N18" s="174" t="s">
        <v>521</v>
      </c>
      <c r="O18" s="280">
        <f t="shared" si="3"/>
        <v>-6613.110000000001</v>
      </c>
      <c r="P18" s="280">
        <f t="shared" si="3"/>
        <v>0</v>
      </c>
      <c r="Q18" s="280">
        <f t="shared" si="3"/>
        <v>0</v>
      </c>
      <c r="R18" s="280">
        <f t="shared" si="3"/>
        <v>0</v>
      </c>
    </row>
    <row r="19" spans="1:18" s="161" customFormat="1" ht="25.5">
      <c r="A19" s="171"/>
      <c r="B19" s="172"/>
      <c r="C19" s="173" t="s">
        <v>619</v>
      </c>
      <c r="D19" s="174"/>
      <c r="E19" s="441"/>
      <c r="F19" s="442"/>
      <c r="G19" s="442"/>
      <c r="H19" s="442">
        <v>6981.01</v>
      </c>
      <c r="I19" s="443">
        <f>H19*1.027</f>
        <v>7169.49727</v>
      </c>
      <c r="J19" s="443">
        <f>I19*1.025</f>
        <v>7348.73470175</v>
      </c>
      <c r="K19" s="194"/>
      <c r="L19" s="194"/>
      <c r="M19" s="267"/>
      <c r="N19" s="174"/>
      <c r="O19" s="280"/>
      <c r="P19" s="280"/>
      <c r="Q19" s="280"/>
      <c r="R19" s="280"/>
    </row>
    <row r="20" spans="1:18" ht="15.75">
      <c r="A20" s="169"/>
      <c r="B20" s="170">
        <v>2</v>
      </c>
      <c r="C20" s="168" t="s">
        <v>350</v>
      </c>
      <c r="D20" s="169"/>
      <c r="E20" s="444">
        <v>109844</v>
      </c>
      <c r="F20" s="445">
        <v>82504</v>
      </c>
      <c r="G20" s="446">
        <v>82495.1</v>
      </c>
      <c r="H20" s="445">
        <v>135413</v>
      </c>
      <c r="I20" s="445">
        <v>154032</v>
      </c>
      <c r="J20" s="445">
        <v>303331</v>
      </c>
      <c r="K20" s="274"/>
      <c r="L20" s="274"/>
      <c r="M20" s="267" t="s">
        <v>524</v>
      </c>
      <c r="N20" s="174"/>
      <c r="O20" s="280">
        <f>O16-O17-O18</f>
        <v>94894.98000000011</v>
      </c>
      <c r="P20" s="280">
        <f>P16-P17-P18</f>
        <v>613.0000000004657</v>
      </c>
      <c r="Q20" s="280">
        <f>Q16-Q17-Q18</f>
        <v>251</v>
      </c>
      <c r="R20" s="280">
        <f>R16-R17-R18</f>
        <v>49</v>
      </c>
    </row>
    <row r="21" spans="1:18" ht="15.75">
      <c r="A21" s="169"/>
      <c r="B21" s="170">
        <v>3</v>
      </c>
      <c r="C21" s="168" t="s">
        <v>351</v>
      </c>
      <c r="D21" s="169"/>
      <c r="E21" s="436"/>
      <c r="F21" s="438"/>
      <c r="G21" s="438"/>
      <c r="H21" s="438"/>
      <c r="I21" s="438"/>
      <c r="J21" s="447"/>
      <c r="K21" s="232"/>
      <c r="L21" s="232"/>
      <c r="M21" s="267">
        <v>5</v>
      </c>
      <c r="N21" s="174" t="s">
        <v>612</v>
      </c>
      <c r="O21" s="280">
        <f>G17-G112</f>
        <v>1968.7199999999975</v>
      </c>
      <c r="P21" s="280">
        <f>H17-H112</f>
        <v>613</v>
      </c>
      <c r="Q21" s="280">
        <f>I17-I112</f>
        <v>251</v>
      </c>
      <c r="R21" s="354">
        <f>J17-J112</f>
        <v>49</v>
      </c>
    </row>
    <row r="22" spans="1:16" s="161" customFormat="1" ht="15">
      <c r="A22" s="171"/>
      <c r="B22" s="172"/>
      <c r="C22" s="173" t="s">
        <v>352</v>
      </c>
      <c r="D22" s="171"/>
      <c r="E22" s="436"/>
      <c r="F22" s="438"/>
      <c r="G22" s="438"/>
      <c r="H22" s="438"/>
      <c r="I22" s="438"/>
      <c r="J22" s="440"/>
      <c r="K22" s="282"/>
      <c r="L22" s="194"/>
      <c r="N22" s="194"/>
      <c r="O22" s="194"/>
      <c r="P22" s="282"/>
    </row>
    <row r="23" spans="1:16" s="161" customFormat="1" ht="15">
      <c r="A23" s="171"/>
      <c r="B23" s="172"/>
      <c r="C23" s="173" t="s">
        <v>353</v>
      </c>
      <c r="D23" s="171"/>
      <c r="E23" s="436"/>
      <c r="F23" s="438"/>
      <c r="G23" s="438"/>
      <c r="H23" s="438"/>
      <c r="I23" s="438"/>
      <c r="J23" s="440"/>
      <c r="K23" s="194"/>
      <c r="L23" s="194"/>
      <c r="N23" s="194"/>
      <c r="O23" s="194"/>
      <c r="P23" s="194"/>
    </row>
    <row r="24" spans="1:16" s="178" customFormat="1" ht="15.75">
      <c r="A24" s="169"/>
      <c r="B24" s="170">
        <v>4</v>
      </c>
      <c r="C24" s="168" t="s">
        <v>354</v>
      </c>
      <c r="D24" s="169"/>
      <c r="E24" s="435">
        <f aca="true" t="shared" si="4" ref="E24:J24">E25+E26+E28+E29+E33+E36+E37+E27</f>
        <v>2118519</v>
      </c>
      <c r="F24" s="435">
        <f t="shared" si="4"/>
        <v>1729580</v>
      </c>
      <c r="G24" s="435">
        <f t="shared" si="4"/>
        <v>1420793.0299999998</v>
      </c>
      <c r="H24" s="435">
        <f t="shared" si="4"/>
        <v>2231890</v>
      </c>
      <c r="I24" s="435">
        <f t="shared" si="4"/>
        <v>2415022</v>
      </c>
      <c r="J24" s="435">
        <f t="shared" si="4"/>
        <v>2269317</v>
      </c>
      <c r="K24" s="161"/>
      <c r="L24" s="161"/>
      <c r="M24" s="161"/>
      <c r="N24" s="231"/>
      <c r="O24" s="231"/>
      <c r="P24" s="231"/>
    </row>
    <row r="25" spans="1:16" s="161" customFormat="1" ht="15">
      <c r="A25" s="171"/>
      <c r="B25" s="172"/>
      <c r="C25" s="175" t="s">
        <v>355</v>
      </c>
      <c r="D25" s="171"/>
      <c r="E25" s="436">
        <v>97564</v>
      </c>
      <c r="F25" s="438">
        <v>97564</v>
      </c>
      <c r="G25" s="438">
        <v>83551.29</v>
      </c>
      <c r="H25" s="438">
        <v>73902</v>
      </c>
      <c r="I25" s="439">
        <v>50298</v>
      </c>
      <c r="J25" s="439">
        <v>50130</v>
      </c>
      <c r="N25" s="194"/>
      <c r="O25" s="194"/>
      <c r="P25" s="194"/>
    </row>
    <row r="26" spans="1:10" s="161" customFormat="1" ht="15">
      <c r="A26" s="171"/>
      <c r="B26" s="172"/>
      <c r="C26" s="175" t="s">
        <v>356</v>
      </c>
      <c r="D26" s="175"/>
      <c r="E26" s="436">
        <v>20376</v>
      </c>
      <c r="F26" s="438">
        <v>17737</v>
      </c>
      <c r="G26" s="438">
        <v>17736.96</v>
      </c>
      <c r="H26" s="438">
        <v>15238</v>
      </c>
      <c r="I26" s="439">
        <v>13509</v>
      </c>
      <c r="J26" s="439">
        <v>12701</v>
      </c>
    </row>
    <row r="27" spans="1:10" s="161" customFormat="1" ht="15">
      <c r="A27" s="171"/>
      <c r="B27" s="172"/>
      <c r="C27" s="175" t="s">
        <v>510</v>
      </c>
      <c r="D27" s="175"/>
      <c r="E27" s="436">
        <v>0</v>
      </c>
      <c r="F27" s="438">
        <v>0</v>
      </c>
      <c r="G27" s="439">
        <v>0</v>
      </c>
      <c r="H27" s="438">
        <v>0</v>
      </c>
      <c r="I27" s="438">
        <v>0</v>
      </c>
      <c r="J27" s="438">
        <v>0</v>
      </c>
    </row>
    <row r="28" spans="1:10" s="161" customFormat="1" ht="15">
      <c r="A28" s="171"/>
      <c r="B28" s="172"/>
      <c r="C28" s="175" t="s">
        <v>357</v>
      </c>
      <c r="D28" s="175"/>
      <c r="E28" s="436">
        <v>59903</v>
      </c>
      <c r="F28" s="438">
        <v>59903</v>
      </c>
      <c r="G28" s="439">
        <v>32562.64</v>
      </c>
      <c r="H28" s="438">
        <v>175518</v>
      </c>
      <c r="I28" s="438">
        <v>218759</v>
      </c>
      <c r="J28" s="438">
        <v>0</v>
      </c>
    </row>
    <row r="29" spans="1:12" s="161" customFormat="1" ht="15.75" customHeight="1">
      <c r="A29" s="171"/>
      <c r="B29" s="172"/>
      <c r="C29" s="175" t="s">
        <v>358</v>
      </c>
      <c r="D29" s="175"/>
      <c r="E29" s="438">
        <f aca="true" t="shared" si="5" ref="E29:J29">E30+E31+E32</f>
        <v>1936494</v>
      </c>
      <c r="F29" s="438">
        <f t="shared" si="5"/>
        <v>1554376</v>
      </c>
      <c r="G29" s="438">
        <f t="shared" si="5"/>
        <v>1286942.14</v>
      </c>
      <c r="H29" s="438">
        <f t="shared" si="5"/>
        <v>447877</v>
      </c>
      <c r="I29" s="438">
        <f t="shared" si="5"/>
        <v>429088</v>
      </c>
      <c r="J29" s="438">
        <f t="shared" si="5"/>
        <v>18229</v>
      </c>
      <c r="K29" s="275"/>
      <c r="L29" s="275"/>
    </row>
    <row r="30" spans="1:13" s="161" customFormat="1" ht="15">
      <c r="A30" s="171"/>
      <c r="B30" s="172"/>
      <c r="C30" s="175" t="s">
        <v>359</v>
      </c>
      <c r="D30" s="175"/>
      <c r="E30" s="436">
        <v>198855</v>
      </c>
      <c r="F30" s="438">
        <v>166589</v>
      </c>
      <c r="G30" s="439">
        <v>127740.75</v>
      </c>
      <c r="H30" s="438">
        <v>254190</v>
      </c>
      <c r="I30" s="438">
        <v>328752</v>
      </c>
      <c r="J30" s="438">
        <v>0</v>
      </c>
      <c r="K30" s="176"/>
      <c r="L30" s="176"/>
      <c r="M30" s="176"/>
    </row>
    <row r="31" spans="1:13" s="161" customFormat="1" ht="15">
      <c r="A31" s="171"/>
      <c r="B31" s="172"/>
      <c r="C31" s="175" t="s">
        <v>360</v>
      </c>
      <c r="D31" s="175"/>
      <c r="E31" s="436">
        <v>1723137</v>
      </c>
      <c r="F31" s="438">
        <v>1387787</v>
      </c>
      <c r="G31" s="439">
        <v>1159201.39</v>
      </c>
      <c r="H31" s="438">
        <v>191687</v>
      </c>
      <c r="I31" s="438">
        <v>100336</v>
      </c>
      <c r="J31" s="438">
        <v>18229</v>
      </c>
      <c r="K31" s="176"/>
      <c r="L31" s="176"/>
      <c r="M31" s="176"/>
    </row>
    <row r="32" spans="1:13" s="161" customFormat="1" ht="15">
      <c r="A32" s="171"/>
      <c r="B32" s="172"/>
      <c r="C32" s="175" t="s">
        <v>361</v>
      </c>
      <c r="D32" s="175"/>
      <c r="E32" s="436">
        <v>14502</v>
      </c>
      <c r="F32" s="438">
        <v>0</v>
      </c>
      <c r="G32" s="439">
        <v>0</v>
      </c>
      <c r="H32" s="438">
        <v>2000</v>
      </c>
      <c r="I32" s="438">
        <v>0</v>
      </c>
      <c r="J32" s="438">
        <v>0</v>
      </c>
      <c r="K32" s="176"/>
      <c r="L32" s="176"/>
      <c r="M32" s="176"/>
    </row>
    <row r="33" spans="1:13" s="161" customFormat="1" ht="25.5">
      <c r="A33" s="171"/>
      <c r="B33" s="172"/>
      <c r="C33" s="331" t="s">
        <v>582</v>
      </c>
      <c r="D33" s="175"/>
      <c r="E33" s="448">
        <f aca="true" t="shared" si="6" ref="E33:J33">E34+E35</f>
        <v>0</v>
      </c>
      <c r="F33" s="448">
        <f t="shared" si="6"/>
        <v>0</v>
      </c>
      <c r="G33" s="448">
        <f t="shared" si="6"/>
        <v>0</v>
      </c>
      <c r="H33" s="448">
        <f t="shared" si="6"/>
        <v>1498676</v>
      </c>
      <c r="I33" s="448">
        <f t="shared" si="6"/>
        <v>1695900</v>
      </c>
      <c r="J33" s="448">
        <f t="shared" si="6"/>
        <v>2180652</v>
      </c>
      <c r="K33" s="176"/>
      <c r="L33" s="176"/>
      <c r="M33" s="176"/>
    </row>
    <row r="34" spans="1:13" s="161" customFormat="1" ht="15">
      <c r="A34" s="171"/>
      <c r="B34" s="172"/>
      <c r="C34" s="175" t="s">
        <v>359</v>
      </c>
      <c r="D34" s="175"/>
      <c r="E34" s="449">
        <v>0</v>
      </c>
      <c r="F34" s="449">
        <v>0</v>
      </c>
      <c r="G34" s="449">
        <v>0</v>
      </c>
      <c r="H34" s="448">
        <v>148038</v>
      </c>
      <c r="I34" s="448">
        <v>81547</v>
      </c>
      <c r="J34" s="448">
        <v>3103</v>
      </c>
      <c r="K34" s="176"/>
      <c r="L34" s="176"/>
      <c r="M34" s="176"/>
    </row>
    <row r="35" spans="1:13" s="161" customFormat="1" ht="15">
      <c r="A35" s="171"/>
      <c r="B35" s="172"/>
      <c r="C35" s="175" t="s">
        <v>360</v>
      </c>
      <c r="D35" s="175"/>
      <c r="E35" s="449">
        <v>0</v>
      </c>
      <c r="F35" s="449">
        <v>0</v>
      </c>
      <c r="G35" s="449">
        <v>0</v>
      </c>
      <c r="H35" s="448">
        <v>1350638</v>
      </c>
      <c r="I35" s="448">
        <v>1614353</v>
      </c>
      <c r="J35" s="448">
        <v>2177549</v>
      </c>
      <c r="K35" s="176"/>
      <c r="L35" s="176"/>
      <c r="M35" s="176"/>
    </row>
    <row r="36" spans="1:13" s="161" customFormat="1" ht="43.5" customHeight="1">
      <c r="A36" s="171"/>
      <c r="B36" s="172"/>
      <c r="C36" s="179" t="s">
        <v>362</v>
      </c>
      <c r="D36" s="175"/>
      <c r="E36" s="449">
        <v>4182</v>
      </c>
      <c r="F36" s="448">
        <v>0</v>
      </c>
      <c r="G36" s="448">
        <v>0</v>
      </c>
      <c r="H36" s="448">
        <v>7039</v>
      </c>
      <c r="I36" s="450">
        <v>7468</v>
      </c>
      <c r="J36" s="450">
        <v>7605</v>
      </c>
      <c r="K36" s="176"/>
      <c r="L36" s="176"/>
      <c r="M36" s="176"/>
    </row>
    <row r="37" spans="1:13" s="161" customFormat="1" ht="15">
      <c r="A37" s="171"/>
      <c r="B37" s="172"/>
      <c r="C37" s="175" t="s">
        <v>363</v>
      </c>
      <c r="D37" s="175"/>
      <c r="E37" s="436">
        <v>0</v>
      </c>
      <c r="F37" s="438">
        <v>0</v>
      </c>
      <c r="G37" s="439">
        <v>0</v>
      </c>
      <c r="H37" s="438">
        <v>13640</v>
      </c>
      <c r="I37" s="438">
        <v>0</v>
      </c>
      <c r="J37" s="438">
        <v>0</v>
      </c>
      <c r="K37" s="176"/>
      <c r="L37" s="176"/>
      <c r="M37" s="176"/>
    </row>
    <row r="38" spans="1:13" ht="15.75">
      <c r="A38" s="163" t="s">
        <v>53</v>
      </c>
      <c r="B38" s="170" t="s">
        <v>53</v>
      </c>
      <c r="C38" s="180" t="s">
        <v>364</v>
      </c>
      <c r="D38" s="180"/>
      <c r="E38" s="434">
        <f aca="true" t="shared" si="7" ref="E38:J38">E39+E68+E92+E104+E107</f>
        <v>2380602</v>
      </c>
      <c r="F38" s="434">
        <f t="shared" si="7"/>
        <v>1964323</v>
      </c>
      <c r="G38" s="434">
        <f t="shared" si="7"/>
        <v>1544981.6299999997</v>
      </c>
      <c r="H38" s="434">
        <f t="shared" si="7"/>
        <v>2508081.9299999997</v>
      </c>
      <c r="I38" s="434">
        <f t="shared" si="7"/>
        <v>2710383.41727</v>
      </c>
      <c r="J38" s="434">
        <f t="shared" si="7"/>
        <v>2714358.65470175</v>
      </c>
      <c r="K38" s="176"/>
      <c r="L38" s="176"/>
      <c r="M38" s="176"/>
    </row>
    <row r="39" spans="1:13" ht="15.75">
      <c r="A39" s="177"/>
      <c r="B39" s="169">
        <v>1</v>
      </c>
      <c r="C39" s="168" t="s">
        <v>365</v>
      </c>
      <c r="D39" s="169"/>
      <c r="E39" s="435">
        <f>E40+E41+E63+E62</f>
        <v>2214995</v>
      </c>
      <c r="F39" s="435">
        <f>F40+F41+F63+F62</f>
        <v>1816529</v>
      </c>
      <c r="G39" s="435">
        <f>G40+G41+G63+G62</f>
        <v>1411456.7599999998</v>
      </c>
      <c r="H39" s="435">
        <f>H40+H41+H63+H62+H67</f>
        <v>2300148.9299999997</v>
      </c>
      <c r="I39" s="435">
        <f>I40+I41+I63+I62+I67</f>
        <v>2533118.41727</v>
      </c>
      <c r="J39" s="435">
        <f>J40+J41+J63+J62+J67</f>
        <v>2408204.65470175</v>
      </c>
      <c r="K39" s="176"/>
      <c r="L39" s="176"/>
      <c r="M39" s="176"/>
    </row>
    <row r="40" spans="1:12" s="161" customFormat="1" ht="20.25" customHeight="1">
      <c r="A40" s="171"/>
      <c r="B40" s="171"/>
      <c r="C40" s="173" t="s">
        <v>366</v>
      </c>
      <c r="D40" s="171"/>
      <c r="E40" s="438">
        <f>E16</f>
        <v>121005</v>
      </c>
      <c r="F40" s="438">
        <f>F16</f>
        <v>121005</v>
      </c>
      <c r="G40" s="439">
        <v>4097.27</v>
      </c>
      <c r="H40" s="438">
        <f>H16</f>
        <v>110151.92000000001</v>
      </c>
      <c r="I40" s="438">
        <f>I16</f>
        <v>126056.92000000001</v>
      </c>
      <c r="J40" s="438">
        <f>J16</f>
        <v>133557.92</v>
      </c>
      <c r="K40" s="275"/>
      <c r="L40" s="275"/>
    </row>
    <row r="41" spans="1:18" s="161" customFormat="1" ht="26.25">
      <c r="A41" s="171"/>
      <c r="B41" s="171"/>
      <c r="C41" s="173" t="s">
        <v>367</v>
      </c>
      <c r="D41" s="171"/>
      <c r="E41" s="438">
        <f aca="true" t="shared" si="8" ref="E41:J41">E42+E49</f>
        <v>2093990</v>
      </c>
      <c r="F41" s="438">
        <f t="shared" si="8"/>
        <v>1695524</v>
      </c>
      <c r="G41" s="438">
        <f t="shared" si="8"/>
        <v>1407359.4899999998</v>
      </c>
      <c r="H41" s="438">
        <f t="shared" si="8"/>
        <v>2183016</v>
      </c>
      <c r="I41" s="438">
        <f t="shared" si="8"/>
        <v>2399892</v>
      </c>
      <c r="J41" s="438">
        <f t="shared" si="8"/>
        <v>2267298</v>
      </c>
      <c r="K41" s="275"/>
      <c r="L41" s="275"/>
      <c r="N41" s="176"/>
      <c r="O41" s="176"/>
      <c r="P41" s="176"/>
      <c r="Q41" s="176"/>
      <c r="R41" s="176"/>
    </row>
    <row r="42" spans="1:18" s="161" customFormat="1" ht="15">
      <c r="A42" s="171"/>
      <c r="B42" s="171" t="s">
        <v>368</v>
      </c>
      <c r="C42" s="173" t="s">
        <v>369</v>
      </c>
      <c r="D42" s="171"/>
      <c r="E42" s="438">
        <f aca="true" t="shared" si="9" ref="E42:J42">SUM(E43:E48)</f>
        <v>73035</v>
      </c>
      <c r="F42" s="438">
        <f t="shared" si="9"/>
        <v>63508</v>
      </c>
      <c r="G42" s="438">
        <f t="shared" si="9"/>
        <v>63504.64</v>
      </c>
      <c r="H42" s="438">
        <f t="shared" si="9"/>
        <v>25028</v>
      </c>
      <c r="I42" s="438">
        <f t="shared" si="9"/>
        <v>35168</v>
      </c>
      <c r="J42" s="438">
        <f t="shared" si="9"/>
        <v>48111</v>
      </c>
      <c r="K42" s="266"/>
      <c r="L42" s="266"/>
      <c r="M42" s="194"/>
      <c r="N42" s="176"/>
      <c r="O42" s="176"/>
      <c r="P42" s="176"/>
      <c r="Q42" s="176"/>
      <c r="R42" s="176"/>
    </row>
    <row r="43" spans="1:14" s="161" customFormat="1" ht="38.25">
      <c r="A43" s="171"/>
      <c r="B43" s="171"/>
      <c r="C43" s="181" t="s">
        <v>370</v>
      </c>
      <c r="D43" s="182">
        <v>2016</v>
      </c>
      <c r="E43" s="448">
        <v>6000</v>
      </c>
      <c r="F43" s="448">
        <v>7583</v>
      </c>
      <c r="G43" s="448">
        <v>7579.91</v>
      </c>
      <c r="H43" s="451">
        <v>14056</v>
      </c>
      <c r="I43" s="452">
        <v>20000</v>
      </c>
      <c r="J43" s="452">
        <v>48111</v>
      </c>
      <c r="K43" s="272"/>
      <c r="L43" s="272"/>
      <c r="M43" s="263"/>
      <c r="N43" s="176"/>
    </row>
    <row r="44" spans="1:13" s="161" customFormat="1" ht="25.5">
      <c r="A44" s="171"/>
      <c r="B44" s="171"/>
      <c r="C44" s="181" t="s">
        <v>371</v>
      </c>
      <c r="D44" s="182">
        <v>2017</v>
      </c>
      <c r="E44" s="449">
        <v>0</v>
      </c>
      <c r="F44" s="448">
        <v>0</v>
      </c>
      <c r="G44" s="448">
        <v>0</v>
      </c>
      <c r="H44" s="451">
        <v>0</v>
      </c>
      <c r="I44" s="448">
        <v>0</v>
      </c>
      <c r="J44" s="448">
        <v>0</v>
      </c>
      <c r="K44" s="272"/>
      <c r="L44" s="272"/>
      <c r="M44" s="263"/>
    </row>
    <row r="45" spans="1:13" s="161" customFormat="1" ht="25.5">
      <c r="A45" s="171"/>
      <c r="B45" s="171"/>
      <c r="C45" s="181" t="s">
        <v>372</v>
      </c>
      <c r="D45" s="183" t="s">
        <v>373</v>
      </c>
      <c r="E45" s="449">
        <v>13023</v>
      </c>
      <c r="F45" s="448">
        <v>0</v>
      </c>
      <c r="G45" s="448">
        <v>0</v>
      </c>
      <c r="H45" s="451">
        <v>0</v>
      </c>
      <c r="I45" s="448">
        <v>0</v>
      </c>
      <c r="J45" s="448">
        <v>0</v>
      </c>
      <c r="K45" s="272"/>
      <c r="L45" s="272"/>
      <c r="M45" s="263"/>
    </row>
    <row r="46" spans="1:13" s="161" customFormat="1" ht="25.5">
      <c r="A46" s="171"/>
      <c r="B46" s="171"/>
      <c r="C46" s="181" t="s">
        <v>374</v>
      </c>
      <c r="D46" s="182">
        <v>2014</v>
      </c>
      <c r="E46" s="449">
        <v>54012</v>
      </c>
      <c r="F46" s="448">
        <v>55925</v>
      </c>
      <c r="G46" s="448">
        <v>55924.73</v>
      </c>
      <c r="H46" s="451">
        <v>10972</v>
      </c>
      <c r="I46" s="452">
        <v>15168</v>
      </c>
      <c r="J46" s="452">
        <v>0</v>
      </c>
      <c r="K46" s="272"/>
      <c r="L46" s="272"/>
      <c r="M46" s="263"/>
    </row>
    <row r="47" spans="1:10" s="161" customFormat="1" ht="25.5">
      <c r="A47" s="171"/>
      <c r="B47" s="171"/>
      <c r="C47" s="181" t="s">
        <v>375</v>
      </c>
      <c r="D47" s="183" t="s">
        <v>376</v>
      </c>
      <c r="E47" s="449">
        <v>0</v>
      </c>
      <c r="F47" s="448">
        <v>0</v>
      </c>
      <c r="G47" s="448">
        <v>0</v>
      </c>
      <c r="H47" s="451">
        <v>0</v>
      </c>
      <c r="I47" s="448">
        <v>0</v>
      </c>
      <c r="J47" s="448">
        <v>0</v>
      </c>
    </row>
    <row r="48" spans="1:12" s="161" customFormat="1" ht="15">
      <c r="A48" s="171"/>
      <c r="B48" s="171"/>
      <c r="C48" s="184" t="s">
        <v>377</v>
      </c>
      <c r="D48" s="182" t="s">
        <v>378</v>
      </c>
      <c r="E48" s="449">
        <v>0</v>
      </c>
      <c r="F48" s="448">
        <v>0</v>
      </c>
      <c r="G48" s="448">
        <v>0</v>
      </c>
      <c r="H48" s="451">
        <v>0</v>
      </c>
      <c r="I48" s="448">
        <v>0</v>
      </c>
      <c r="J48" s="448">
        <v>0</v>
      </c>
      <c r="K48" s="176"/>
      <c r="L48" s="176"/>
    </row>
    <row r="49" spans="1:10" s="161" customFormat="1" ht="15">
      <c r="A49" s="171"/>
      <c r="B49" s="171" t="s">
        <v>379</v>
      </c>
      <c r="C49" s="185" t="s">
        <v>380</v>
      </c>
      <c r="D49" s="186"/>
      <c r="E49" s="453">
        <f aca="true" t="shared" si="10" ref="E49:J49">E50+E52+E53+E60+E61+E51+E57</f>
        <v>2020955</v>
      </c>
      <c r="F49" s="453">
        <f t="shared" si="10"/>
        <v>1632016</v>
      </c>
      <c r="G49" s="453">
        <f t="shared" si="10"/>
        <v>1343854.8499999999</v>
      </c>
      <c r="H49" s="453">
        <f t="shared" si="10"/>
        <v>2157988</v>
      </c>
      <c r="I49" s="453">
        <f t="shared" si="10"/>
        <v>2364724</v>
      </c>
      <c r="J49" s="453">
        <f t="shared" si="10"/>
        <v>2219187</v>
      </c>
    </row>
    <row r="50" spans="1:10" s="161" customFormat="1" ht="15">
      <c r="A50" s="171"/>
      <c r="B50" s="171"/>
      <c r="C50" s="187" t="s">
        <v>356</v>
      </c>
      <c r="D50" s="187"/>
      <c r="E50" s="436">
        <v>20376</v>
      </c>
      <c r="F50" s="438">
        <f>F26</f>
        <v>17737</v>
      </c>
      <c r="G50" s="454">
        <f>G26</f>
        <v>17736.96</v>
      </c>
      <c r="H50" s="454">
        <f>H26</f>
        <v>15238</v>
      </c>
      <c r="I50" s="455">
        <f>I26</f>
        <v>13509</v>
      </c>
      <c r="J50" s="455">
        <f>J26</f>
        <v>12701</v>
      </c>
    </row>
    <row r="51" spans="1:10" s="161" customFormat="1" ht="18.75" customHeight="1">
      <c r="A51" s="171"/>
      <c r="B51" s="171"/>
      <c r="C51" s="175" t="s">
        <v>510</v>
      </c>
      <c r="D51" s="187"/>
      <c r="E51" s="436">
        <v>0</v>
      </c>
      <c r="F51" s="438">
        <f>F27</f>
        <v>0</v>
      </c>
      <c r="G51" s="455">
        <v>0</v>
      </c>
      <c r="H51" s="454">
        <f aca="true" t="shared" si="11" ref="H51:J56">H27</f>
        <v>0</v>
      </c>
      <c r="I51" s="455">
        <f t="shared" si="11"/>
        <v>0</v>
      </c>
      <c r="J51" s="455">
        <f t="shared" si="11"/>
        <v>0</v>
      </c>
    </row>
    <row r="52" spans="1:13" s="161" customFormat="1" ht="15">
      <c r="A52" s="171"/>
      <c r="B52" s="171"/>
      <c r="C52" s="185" t="s">
        <v>357</v>
      </c>
      <c r="D52" s="186"/>
      <c r="E52" s="436">
        <v>59903</v>
      </c>
      <c r="F52" s="438">
        <f>F28</f>
        <v>59903</v>
      </c>
      <c r="G52" s="455">
        <v>39175.75</v>
      </c>
      <c r="H52" s="454">
        <f t="shared" si="11"/>
        <v>175518</v>
      </c>
      <c r="I52" s="455">
        <f t="shared" si="11"/>
        <v>218759</v>
      </c>
      <c r="J52" s="455">
        <f t="shared" si="11"/>
        <v>0</v>
      </c>
      <c r="K52" s="176"/>
      <c r="L52" s="176"/>
      <c r="M52" s="176"/>
    </row>
    <row r="53" spans="1:10" s="161" customFormat="1" ht="15.75" customHeight="1">
      <c r="A53" s="171"/>
      <c r="B53" s="171"/>
      <c r="C53" s="185" t="s">
        <v>358</v>
      </c>
      <c r="D53" s="186"/>
      <c r="E53" s="438">
        <f>E54+E55+E56</f>
        <v>1936494</v>
      </c>
      <c r="F53" s="438">
        <f>F54+F55+F56</f>
        <v>1554376</v>
      </c>
      <c r="G53" s="439">
        <f>G54+G55+G56</f>
        <v>1286942.14</v>
      </c>
      <c r="H53" s="454">
        <f t="shared" si="11"/>
        <v>447877</v>
      </c>
      <c r="I53" s="455">
        <f t="shared" si="11"/>
        <v>429088</v>
      </c>
      <c r="J53" s="455">
        <f t="shared" si="11"/>
        <v>18229</v>
      </c>
    </row>
    <row r="54" spans="1:10" s="161" customFormat="1" ht="15">
      <c r="A54" s="171"/>
      <c r="B54" s="171"/>
      <c r="C54" s="185" t="s">
        <v>359</v>
      </c>
      <c r="D54" s="186"/>
      <c r="E54" s="436">
        <v>198855</v>
      </c>
      <c r="F54" s="438">
        <f aca="true" t="shared" si="12" ref="F54:G56">F30</f>
        <v>166589</v>
      </c>
      <c r="G54" s="439">
        <f t="shared" si="12"/>
        <v>127740.75</v>
      </c>
      <c r="H54" s="454">
        <f t="shared" si="11"/>
        <v>254190</v>
      </c>
      <c r="I54" s="455">
        <f t="shared" si="11"/>
        <v>328752</v>
      </c>
      <c r="J54" s="455">
        <f t="shared" si="11"/>
        <v>0</v>
      </c>
    </row>
    <row r="55" spans="1:10" s="161" customFormat="1" ht="15">
      <c r="A55" s="171"/>
      <c r="B55" s="171"/>
      <c r="C55" s="185" t="s">
        <v>360</v>
      </c>
      <c r="D55" s="186"/>
      <c r="E55" s="436">
        <v>1723137</v>
      </c>
      <c r="F55" s="438">
        <f t="shared" si="12"/>
        <v>1387787</v>
      </c>
      <c r="G55" s="439">
        <f t="shared" si="12"/>
        <v>1159201.39</v>
      </c>
      <c r="H55" s="454">
        <f t="shared" si="11"/>
        <v>191687</v>
      </c>
      <c r="I55" s="455">
        <f t="shared" si="11"/>
        <v>100336</v>
      </c>
      <c r="J55" s="455">
        <f t="shared" si="11"/>
        <v>18229</v>
      </c>
    </row>
    <row r="56" spans="1:10" s="161" customFormat="1" ht="15">
      <c r="A56" s="171"/>
      <c r="B56" s="171"/>
      <c r="C56" s="185" t="s">
        <v>361</v>
      </c>
      <c r="D56" s="186"/>
      <c r="E56" s="436">
        <v>14502</v>
      </c>
      <c r="F56" s="438">
        <f t="shared" si="12"/>
        <v>0</v>
      </c>
      <c r="G56" s="439">
        <f t="shared" si="12"/>
        <v>0</v>
      </c>
      <c r="H56" s="454">
        <f t="shared" si="11"/>
        <v>2000</v>
      </c>
      <c r="I56" s="455">
        <f t="shared" si="11"/>
        <v>0</v>
      </c>
      <c r="J56" s="455">
        <f t="shared" si="11"/>
        <v>0</v>
      </c>
    </row>
    <row r="57" spans="1:10" s="161" customFormat="1" ht="25.5">
      <c r="A57" s="171"/>
      <c r="B57" s="171"/>
      <c r="C57" s="331" t="s">
        <v>582</v>
      </c>
      <c r="D57" s="186"/>
      <c r="E57" s="449">
        <f aca="true" t="shared" si="13" ref="E57:J57">E58+E59</f>
        <v>0</v>
      </c>
      <c r="F57" s="449">
        <f t="shared" si="13"/>
        <v>0</v>
      </c>
      <c r="G57" s="449">
        <f t="shared" si="13"/>
        <v>0</v>
      </c>
      <c r="H57" s="449">
        <f t="shared" si="13"/>
        <v>1498676</v>
      </c>
      <c r="I57" s="449">
        <f t="shared" si="13"/>
        <v>1695900</v>
      </c>
      <c r="J57" s="449">
        <f t="shared" si="13"/>
        <v>2180652</v>
      </c>
    </row>
    <row r="58" spans="1:10" s="161" customFormat="1" ht="15">
      <c r="A58" s="171"/>
      <c r="B58" s="171"/>
      <c r="C58" s="175" t="s">
        <v>359</v>
      </c>
      <c r="D58" s="186"/>
      <c r="E58" s="449">
        <v>0</v>
      </c>
      <c r="F58" s="449">
        <v>0</v>
      </c>
      <c r="G58" s="449">
        <v>0</v>
      </c>
      <c r="H58" s="452">
        <f aca="true" t="shared" si="14" ref="H58:J59">H34</f>
        <v>148038</v>
      </c>
      <c r="I58" s="452">
        <f t="shared" si="14"/>
        <v>81547</v>
      </c>
      <c r="J58" s="452">
        <f t="shared" si="14"/>
        <v>3103</v>
      </c>
    </row>
    <row r="59" spans="1:10" s="161" customFormat="1" ht="15">
      <c r="A59" s="171"/>
      <c r="B59" s="171"/>
      <c r="C59" s="175" t="s">
        <v>360</v>
      </c>
      <c r="D59" s="186"/>
      <c r="E59" s="449">
        <v>0</v>
      </c>
      <c r="F59" s="449">
        <v>0</v>
      </c>
      <c r="G59" s="449">
        <v>0</v>
      </c>
      <c r="H59" s="452">
        <f t="shared" si="14"/>
        <v>1350638</v>
      </c>
      <c r="I59" s="452">
        <f t="shared" si="14"/>
        <v>1614353</v>
      </c>
      <c r="J59" s="452">
        <f t="shared" si="14"/>
        <v>2177549</v>
      </c>
    </row>
    <row r="60" spans="1:10" s="161" customFormat="1" ht="39" customHeight="1">
      <c r="A60" s="171"/>
      <c r="B60" s="171"/>
      <c r="C60" s="188" t="s">
        <v>362</v>
      </c>
      <c r="D60" s="186"/>
      <c r="E60" s="449">
        <v>4182</v>
      </c>
      <c r="F60" s="449">
        <f>F36</f>
        <v>0</v>
      </c>
      <c r="G60" s="449">
        <v>0</v>
      </c>
      <c r="H60" s="449">
        <f aca="true" t="shared" si="15" ref="H60:J61">H36</f>
        <v>7039</v>
      </c>
      <c r="I60" s="449">
        <f t="shared" si="15"/>
        <v>7468</v>
      </c>
      <c r="J60" s="449">
        <f t="shared" si="15"/>
        <v>7605</v>
      </c>
    </row>
    <row r="61" spans="1:10" s="161" customFormat="1" ht="15">
      <c r="A61" s="171"/>
      <c r="B61" s="171"/>
      <c r="C61" s="185" t="s">
        <v>363</v>
      </c>
      <c r="D61" s="186"/>
      <c r="E61" s="436">
        <v>0</v>
      </c>
      <c r="F61" s="438">
        <f>F37</f>
        <v>0</v>
      </c>
      <c r="G61" s="439">
        <v>0</v>
      </c>
      <c r="H61" s="454">
        <f t="shared" si="15"/>
        <v>13640</v>
      </c>
      <c r="I61" s="455">
        <f t="shared" si="15"/>
        <v>0</v>
      </c>
      <c r="J61" s="455">
        <f t="shared" si="15"/>
        <v>0</v>
      </c>
    </row>
    <row r="62" spans="1:10" s="161" customFormat="1" ht="25.5">
      <c r="A62" s="171"/>
      <c r="B62" s="171"/>
      <c r="C62" s="184" t="s">
        <v>381</v>
      </c>
      <c r="D62" s="182"/>
      <c r="E62" s="449"/>
      <c r="F62" s="448"/>
      <c r="G62" s="448"/>
      <c r="H62" s="448"/>
      <c r="I62" s="448"/>
      <c r="J62" s="440"/>
    </row>
    <row r="63" spans="1:10" s="161" customFormat="1" ht="39">
      <c r="A63" s="171"/>
      <c r="B63" s="171"/>
      <c r="C63" s="173" t="s">
        <v>382</v>
      </c>
      <c r="D63" s="171"/>
      <c r="E63" s="436"/>
      <c r="F63" s="438"/>
      <c r="G63" s="438"/>
      <c r="H63" s="438"/>
      <c r="I63" s="438"/>
      <c r="J63" s="440"/>
    </row>
    <row r="64" spans="1:14" ht="15.75" customHeight="1" hidden="1">
      <c r="A64" s="177"/>
      <c r="B64" s="177"/>
      <c r="C64" s="189" t="s">
        <v>383</v>
      </c>
      <c r="D64" s="169"/>
      <c r="E64" s="436"/>
      <c r="F64" s="438"/>
      <c r="G64" s="438"/>
      <c r="H64" s="438"/>
      <c r="I64" s="438"/>
      <c r="J64" s="447"/>
      <c r="K64" s="161"/>
      <c r="L64" s="161"/>
      <c r="M64" s="161"/>
      <c r="N64" s="161"/>
    </row>
    <row r="65" spans="1:14" ht="15.75" customHeight="1" hidden="1">
      <c r="A65" s="177"/>
      <c r="B65" s="177"/>
      <c r="C65" s="189" t="s">
        <v>383</v>
      </c>
      <c r="D65" s="169"/>
      <c r="E65" s="436"/>
      <c r="F65" s="438"/>
      <c r="G65" s="438"/>
      <c r="H65" s="438"/>
      <c r="I65" s="438"/>
      <c r="J65" s="447"/>
      <c r="K65" s="161"/>
      <c r="L65" s="161"/>
      <c r="M65" s="161"/>
      <c r="N65" s="161"/>
    </row>
    <row r="66" spans="1:14" ht="15.75" customHeight="1" hidden="1">
      <c r="A66" s="177"/>
      <c r="B66" s="177"/>
      <c r="C66" s="189" t="s">
        <v>384</v>
      </c>
      <c r="D66" s="169"/>
      <c r="E66" s="436"/>
      <c r="F66" s="438"/>
      <c r="G66" s="438"/>
      <c r="H66" s="438"/>
      <c r="I66" s="438"/>
      <c r="J66" s="447"/>
      <c r="K66" s="161"/>
      <c r="L66" s="161"/>
      <c r="M66" s="161"/>
      <c r="N66" s="161"/>
    </row>
    <row r="67" spans="1:14" ht="30" customHeight="1">
      <c r="A67" s="177"/>
      <c r="B67" s="177"/>
      <c r="C67" s="189" t="s">
        <v>620</v>
      </c>
      <c r="D67" s="362"/>
      <c r="E67" s="441"/>
      <c r="F67" s="442"/>
      <c r="G67" s="442"/>
      <c r="H67" s="442">
        <f>H19</f>
        <v>6981.01</v>
      </c>
      <c r="I67" s="442">
        <f>I19</f>
        <v>7169.49727</v>
      </c>
      <c r="J67" s="442">
        <f>J19</f>
        <v>7348.73470175</v>
      </c>
      <c r="K67" s="161"/>
      <c r="L67" s="161"/>
      <c r="M67" s="161"/>
      <c r="N67" s="161"/>
    </row>
    <row r="68" spans="1:14" ht="15.75">
      <c r="A68" s="177"/>
      <c r="B68" s="169">
        <v>2</v>
      </c>
      <c r="C68" s="168" t="s">
        <v>385</v>
      </c>
      <c r="D68" s="169"/>
      <c r="E68" s="435">
        <f aca="true" t="shared" si="16" ref="E68:J68">E79+E80+E84+E88</f>
        <v>0</v>
      </c>
      <c r="F68" s="435">
        <f t="shared" si="16"/>
        <v>0</v>
      </c>
      <c r="G68" s="435">
        <f t="shared" si="16"/>
        <v>0</v>
      </c>
      <c r="H68" s="435">
        <f t="shared" si="16"/>
        <v>0</v>
      </c>
      <c r="I68" s="435">
        <f t="shared" si="16"/>
        <v>0</v>
      </c>
      <c r="J68" s="435">
        <f t="shared" si="16"/>
        <v>0</v>
      </c>
      <c r="K68" s="161"/>
      <c r="L68" s="161"/>
      <c r="M68" s="161"/>
      <c r="N68" s="161"/>
    </row>
    <row r="69" spans="1:12" ht="30" customHeight="1" hidden="1">
      <c r="A69" s="177"/>
      <c r="B69" s="177"/>
      <c r="C69" s="189" t="s">
        <v>366</v>
      </c>
      <c r="D69" s="169"/>
      <c r="E69" s="456">
        <v>0</v>
      </c>
      <c r="F69" s="435">
        <f>SUM(F70:F78)</f>
        <v>0</v>
      </c>
      <c r="G69" s="435">
        <v>0</v>
      </c>
      <c r="H69" s="435">
        <f>SUM(H70:H78)</f>
        <v>0</v>
      </c>
      <c r="I69" s="435">
        <f>SUM(I70:I78)</f>
        <v>0</v>
      </c>
      <c r="J69" s="447"/>
      <c r="K69" s="232"/>
      <c r="L69" s="232"/>
    </row>
    <row r="70" spans="1:12" ht="15.75" customHeight="1" hidden="1">
      <c r="A70" s="177"/>
      <c r="B70" s="177"/>
      <c r="C70" s="189" t="s">
        <v>386</v>
      </c>
      <c r="D70" s="190" t="s">
        <v>387</v>
      </c>
      <c r="E70" s="436"/>
      <c r="F70" s="438"/>
      <c r="G70" s="438"/>
      <c r="H70" s="438"/>
      <c r="I70" s="438"/>
      <c r="J70" s="447"/>
      <c r="K70" s="232"/>
      <c r="L70" s="232"/>
    </row>
    <row r="71" spans="1:12" ht="15.75" customHeight="1" hidden="1">
      <c r="A71" s="177"/>
      <c r="B71" s="177"/>
      <c r="C71" s="189" t="s">
        <v>388</v>
      </c>
      <c r="D71" s="190" t="s">
        <v>387</v>
      </c>
      <c r="E71" s="436"/>
      <c r="F71" s="438"/>
      <c r="G71" s="438"/>
      <c r="H71" s="438"/>
      <c r="I71" s="438"/>
      <c r="J71" s="447"/>
      <c r="K71" s="232"/>
      <c r="L71" s="232"/>
    </row>
    <row r="72" spans="1:12" ht="15.75" customHeight="1" hidden="1">
      <c r="A72" s="177"/>
      <c r="B72" s="177"/>
      <c r="C72" s="189" t="s">
        <v>389</v>
      </c>
      <c r="D72" s="190" t="s">
        <v>387</v>
      </c>
      <c r="E72" s="436"/>
      <c r="F72" s="438"/>
      <c r="G72" s="438"/>
      <c r="H72" s="438"/>
      <c r="I72" s="438"/>
      <c r="J72" s="447"/>
      <c r="K72" s="232"/>
      <c r="L72" s="232"/>
    </row>
    <row r="73" spans="1:12" ht="15.75" customHeight="1" hidden="1">
      <c r="A73" s="177"/>
      <c r="B73" s="177"/>
      <c r="C73" s="189" t="s">
        <v>390</v>
      </c>
      <c r="D73" s="190" t="s">
        <v>387</v>
      </c>
      <c r="E73" s="441"/>
      <c r="F73" s="438"/>
      <c r="G73" s="438"/>
      <c r="H73" s="442"/>
      <c r="I73" s="438"/>
      <c r="J73" s="447"/>
      <c r="K73" s="232"/>
      <c r="L73" s="232"/>
    </row>
    <row r="74" spans="1:12" ht="15.75" customHeight="1" hidden="1">
      <c r="A74" s="177"/>
      <c r="B74" s="177"/>
      <c r="C74" s="189" t="s">
        <v>391</v>
      </c>
      <c r="D74" s="190" t="s">
        <v>387</v>
      </c>
      <c r="E74" s="436"/>
      <c r="F74" s="438"/>
      <c r="G74" s="438"/>
      <c r="H74" s="438"/>
      <c r="I74" s="438"/>
      <c r="J74" s="447"/>
      <c r="K74" s="232"/>
      <c r="L74" s="232"/>
    </row>
    <row r="75" spans="1:12" ht="15.75" customHeight="1" hidden="1">
      <c r="A75" s="177"/>
      <c r="B75" s="177"/>
      <c r="C75" s="189" t="s">
        <v>392</v>
      </c>
      <c r="D75" s="190" t="s">
        <v>387</v>
      </c>
      <c r="E75" s="436"/>
      <c r="F75" s="438"/>
      <c r="G75" s="438"/>
      <c r="H75" s="438"/>
      <c r="I75" s="438"/>
      <c r="J75" s="447"/>
      <c r="K75" s="232"/>
      <c r="L75" s="232"/>
    </row>
    <row r="76" spans="1:12" ht="15.75" customHeight="1" hidden="1">
      <c r="A76" s="177"/>
      <c r="B76" s="177"/>
      <c r="C76" s="189" t="s">
        <v>393</v>
      </c>
      <c r="D76" s="190" t="s">
        <v>387</v>
      </c>
      <c r="E76" s="436"/>
      <c r="F76" s="438"/>
      <c r="G76" s="438"/>
      <c r="H76" s="438"/>
      <c r="I76" s="438"/>
      <c r="J76" s="447"/>
      <c r="K76" s="232"/>
      <c r="L76" s="232"/>
    </row>
    <row r="77" spans="1:12" ht="15.75" customHeight="1" hidden="1">
      <c r="A77" s="177"/>
      <c r="B77" s="177"/>
      <c r="C77" s="189" t="s">
        <v>394</v>
      </c>
      <c r="D77" s="190" t="s">
        <v>387</v>
      </c>
      <c r="E77" s="436"/>
      <c r="F77" s="438"/>
      <c r="G77" s="438"/>
      <c r="H77" s="438"/>
      <c r="I77" s="438"/>
      <c r="J77" s="447"/>
      <c r="K77" s="232"/>
      <c r="L77" s="232"/>
    </row>
    <row r="78" spans="1:12" ht="15.75" customHeight="1" hidden="1">
      <c r="A78" s="177"/>
      <c r="B78" s="177"/>
      <c r="C78" s="189" t="s">
        <v>395</v>
      </c>
      <c r="D78" s="190" t="s">
        <v>387</v>
      </c>
      <c r="E78" s="436"/>
      <c r="F78" s="438"/>
      <c r="G78" s="438"/>
      <c r="H78" s="438"/>
      <c r="I78" s="438"/>
      <c r="J78" s="447"/>
      <c r="K78" s="232"/>
      <c r="L78" s="232"/>
    </row>
    <row r="79" spans="1:12" s="161" customFormat="1" ht="15">
      <c r="A79" s="171"/>
      <c r="B79" s="171"/>
      <c r="C79" s="173" t="s">
        <v>396</v>
      </c>
      <c r="D79" s="191"/>
      <c r="E79" s="436">
        <v>0</v>
      </c>
      <c r="F79" s="438">
        <v>0</v>
      </c>
      <c r="G79" s="438">
        <v>0</v>
      </c>
      <c r="H79" s="438">
        <v>0</v>
      </c>
      <c r="I79" s="438">
        <v>0</v>
      </c>
      <c r="J79" s="438">
        <v>0</v>
      </c>
      <c r="K79" s="460"/>
      <c r="L79" s="275"/>
    </row>
    <row r="80" spans="1:12" s="161" customFormat="1" ht="26.25">
      <c r="A80" s="171"/>
      <c r="B80" s="171"/>
      <c r="C80" s="173" t="s">
        <v>367</v>
      </c>
      <c r="D80" s="192"/>
      <c r="E80" s="436"/>
      <c r="F80" s="438"/>
      <c r="G80" s="438"/>
      <c r="H80" s="438"/>
      <c r="I80" s="438"/>
      <c r="J80" s="440"/>
      <c r="K80" s="460"/>
      <c r="L80" s="194"/>
    </row>
    <row r="81" spans="1:12" s="161" customFormat="1" ht="15" customHeight="1" hidden="1">
      <c r="A81" s="171"/>
      <c r="B81" s="171"/>
      <c r="C81" s="173" t="s">
        <v>383</v>
      </c>
      <c r="D81" s="192"/>
      <c r="E81" s="436"/>
      <c r="F81" s="438"/>
      <c r="G81" s="438"/>
      <c r="H81" s="438"/>
      <c r="I81" s="438"/>
      <c r="J81" s="440"/>
      <c r="K81" s="460"/>
      <c r="L81" s="194"/>
    </row>
    <row r="82" spans="1:12" s="161" customFormat="1" ht="15" customHeight="1" hidden="1">
      <c r="A82" s="171"/>
      <c r="B82" s="171"/>
      <c r="C82" s="173" t="s">
        <v>383</v>
      </c>
      <c r="D82" s="192"/>
      <c r="E82" s="436"/>
      <c r="F82" s="438"/>
      <c r="G82" s="438"/>
      <c r="H82" s="438"/>
      <c r="I82" s="438"/>
      <c r="J82" s="440"/>
      <c r="K82" s="460"/>
      <c r="L82" s="194"/>
    </row>
    <row r="83" spans="1:12" s="161" customFormat="1" ht="15" customHeight="1" hidden="1">
      <c r="A83" s="171"/>
      <c r="B83" s="171"/>
      <c r="C83" s="173" t="s">
        <v>384</v>
      </c>
      <c r="D83" s="192"/>
      <c r="E83" s="436"/>
      <c r="F83" s="438"/>
      <c r="G83" s="438"/>
      <c r="H83" s="438"/>
      <c r="I83" s="438"/>
      <c r="J83" s="440"/>
      <c r="K83" s="460"/>
      <c r="L83" s="194"/>
    </row>
    <row r="84" spans="1:12" s="161" customFormat="1" ht="26.25">
      <c r="A84" s="171"/>
      <c r="B84" s="171"/>
      <c r="C84" s="173" t="s">
        <v>397</v>
      </c>
      <c r="D84" s="192"/>
      <c r="E84" s="436"/>
      <c r="F84" s="438"/>
      <c r="G84" s="438"/>
      <c r="H84" s="438"/>
      <c r="I84" s="438"/>
      <c r="J84" s="440"/>
      <c r="K84" s="460"/>
      <c r="L84" s="194"/>
    </row>
    <row r="85" spans="1:12" s="161" customFormat="1" ht="15" customHeight="1" hidden="1">
      <c r="A85" s="171"/>
      <c r="B85" s="171"/>
      <c r="C85" s="173" t="s">
        <v>383</v>
      </c>
      <c r="D85" s="192"/>
      <c r="E85" s="436"/>
      <c r="F85" s="438"/>
      <c r="G85" s="438"/>
      <c r="H85" s="438"/>
      <c r="I85" s="438"/>
      <c r="J85" s="440"/>
      <c r="K85" s="194"/>
      <c r="L85" s="194"/>
    </row>
    <row r="86" spans="1:12" s="161" customFormat="1" ht="15" customHeight="1" hidden="1">
      <c r="A86" s="171"/>
      <c r="B86" s="171"/>
      <c r="C86" s="173" t="s">
        <v>383</v>
      </c>
      <c r="D86" s="192"/>
      <c r="E86" s="436"/>
      <c r="F86" s="438"/>
      <c r="G86" s="438"/>
      <c r="H86" s="438"/>
      <c r="I86" s="438"/>
      <c r="J86" s="440"/>
      <c r="K86" s="194"/>
      <c r="L86" s="194"/>
    </row>
    <row r="87" spans="1:12" s="161" customFormat="1" ht="15" customHeight="1" hidden="1">
      <c r="A87" s="171"/>
      <c r="B87" s="171"/>
      <c r="C87" s="173" t="s">
        <v>384</v>
      </c>
      <c r="D87" s="192"/>
      <c r="E87" s="436"/>
      <c r="F87" s="438"/>
      <c r="G87" s="438"/>
      <c r="H87" s="438"/>
      <c r="I87" s="438"/>
      <c r="J87" s="440"/>
      <c r="K87" s="194"/>
      <c r="L87" s="194"/>
    </row>
    <row r="88" spans="1:12" s="161" customFormat="1" ht="39">
      <c r="A88" s="171"/>
      <c r="B88" s="171"/>
      <c r="C88" s="173" t="s">
        <v>382</v>
      </c>
      <c r="D88" s="192"/>
      <c r="E88" s="436"/>
      <c r="F88" s="438"/>
      <c r="G88" s="438"/>
      <c r="H88" s="438"/>
      <c r="I88" s="438"/>
      <c r="J88" s="440"/>
      <c r="K88" s="194"/>
      <c r="L88" s="194"/>
    </row>
    <row r="89" spans="1:12" ht="15.75" customHeight="1" hidden="1">
      <c r="A89" s="177"/>
      <c r="B89" s="177"/>
      <c r="C89" s="189" t="s">
        <v>383</v>
      </c>
      <c r="D89" s="169"/>
      <c r="E89" s="436"/>
      <c r="F89" s="438"/>
      <c r="G89" s="438"/>
      <c r="H89" s="438"/>
      <c r="I89" s="438"/>
      <c r="J89" s="447"/>
      <c r="K89" s="232"/>
      <c r="L89" s="232"/>
    </row>
    <row r="90" spans="1:12" ht="15.75" customHeight="1" hidden="1">
      <c r="A90" s="177"/>
      <c r="B90" s="177"/>
      <c r="C90" s="189" t="s">
        <v>383</v>
      </c>
      <c r="D90" s="169"/>
      <c r="E90" s="436"/>
      <c r="F90" s="438"/>
      <c r="G90" s="438"/>
      <c r="H90" s="438"/>
      <c r="I90" s="438"/>
      <c r="J90" s="447"/>
      <c r="K90" s="232"/>
      <c r="L90" s="232"/>
    </row>
    <row r="91" spans="1:12" ht="15.75" customHeight="1" hidden="1">
      <c r="A91" s="177"/>
      <c r="B91" s="177"/>
      <c r="C91" s="189" t="s">
        <v>384</v>
      </c>
      <c r="D91" s="169"/>
      <c r="E91" s="436"/>
      <c r="F91" s="438"/>
      <c r="G91" s="438"/>
      <c r="H91" s="438"/>
      <c r="I91" s="438"/>
      <c r="J91" s="447"/>
      <c r="K91" s="232"/>
      <c r="L91" s="232"/>
    </row>
    <row r="92" spans="1:12" ht="47.25">
      <c r="A92" s="177"/>
      <c r="B92" s="169">
        <v>3</v>
      </c>
      <c r="C92" s="168" t="s">
        <v>398</v>
      </c>
      <c r="D92" s="169"/>
      <c r="E92" s="445">
        <f aca="true" t="shared" si="17" ref="E92:J92">E93+E94+E102+E103</f>
        <v>36809</v>
      </c>
      <c r="F92" s="445">
        <f t="shared" si="17"/>
        <v>18996</v>
      </c>
      <c r="G92" s="445">
        <f t="shared" si="17"/>
        <v>18990.449999999997</v>
      </c>
      <c r="H92" s="445">
        <f t="shared" si="17"/>
        <v>110385</v>
      </c>
      <c r="I92" s="445">
        <f t="shared" si="17"/>
        <v>118864</v>
      </c>
      <c r="J92" s="445">
        <f t="shared" si="17"/>
        <v>255220</v>
      </c>
      <c r="K92" s="276"/>
      <c r="L92" s="276"/>
    </row>
    <row r="93" spans="1:12" s="161" customFormat="1" ht="15">
      <c r="A93" s="171"/>
      <c r="B93" s="171"/>
      <c r="C93" s="173" t="s">
        <v>396</v>
      </c>
      <c r="D93" s="191"/>
      <c r="E93" s="449"/>
      <c r="F93" s="448"/>
      <c r="G93" s="448"/>
      <c r="H93" s="448"/>
      <c r="I93" s="448"/>
      <c r="J93" s="448"/>
      <c r="K93" s="275"/>
      <c r="L93" s="275"/>
    </row>
    <row r="94" spans="1:13" s="161" customFormat="1" ht="25.5">
      <c r="A94" s="171"/>
      <c r="B94" s="171"/>
      <c r="C94" s="173" t="s">
        <v>367</v>
      </c>
      <c r="D94" s="171"/>
      <c r="E94" s="448">
        <f aca="true" t="shared" si="18" ref="E94:J94">SUM(E95:E101)</f>
        <v>36809</v>
      </c>
      <c r="F94" s="448">
        <f t="shared" si="18"/>
        <v>18996</v>
      </c>
      <c r="G94" s="448">
        <f t="shared" si="18"/>
        <v>18990.449999999997</v>
      </c>
      <c r="H94" s="448">
        <f t="shared" si="18"/>
        <v>110385</v>
      </c>
      <c r="I94" s="448">
        <f t="shared" si="18"/>
        <v>118864</v>
      </c>
      <c r="J94" s="448">
        <f t="shared" si="18"/>
        <v>255220</v>
      </c>
      <c r="K94" s="263"/>
      <c r="L94" s="263"/>
      <c r="M94" s="176"/>
    </row>
    <row r="95" spans="1:12" s="161" customFormat="1" ht="15">
      <c r="A95" s="171"/>
      <c r="B95" s="193">
        <v>1</v>
      </c>
      <c r="C95" s="173" t="s">
        <v>399</v>
      </c>
      <c r="D95" s="182" t="s">
        <v>387</v>
      </c>
      <c r="E95" s="449">
        <v>13389</v>
      </c>
      <c r="F95" s="448">
        <v>2699</v>
      </c>
      <c r="G95" s="448">
        <v>2698.59</v>
      </c>
      <c r="H95" s="451">
        <v>45988</v>
      </c>
      <c r="I95" s="448">
        <v>47000</v>
      </c>
      <c r="J95" s="448">
        <v>100000</v>
      </c>
      <c r="K95" s="269"/>
      <c r="L95" s="269"/>
    </row>
    <row r="96" spans="1:12" s="161" customFormat="1" ht="15">
      <c r="A96" s="171"/>
      <c r="B96" s="193">
        <v>2</v>
      </c>
      <c r="C96" s="173" t="s">
        <v>400</v>
      </c>
      <c r="D96" s="182" t="s">
        <v>387</v>
      </c>
      <c r="E96" s="449">
        <v>4392</v>
      </c>
      <c r="F96" s="448">
        <v>3004</v>
      </c>
      <c r="G96" s="452">
        <v>3004</v>
      </c>
      <c r="H96" s="452">
        <v>25105</v>
      </c>
      <c r="I96" s="452">
        <v>28000</v>
      </c>
      <c r="J96" s="457">
        <v>40000</v>
      </c>
      <c r="K96" s="269"/>
      <c r="L96" s="269"/>
    </row>
    <row r="97" spans="1:12" s="161" customFormat="1" ht="15">
      <c r="A97" s="171"/>
      <c r="B97" s="193">
        <v>3</v>
      </c>
      <c r="C97" s="173" t="s">
        <v>401</v>
      </c>
      <c r="D97" s="182" t="s">
        <v>387</v>
      </c>
      <c r="E97" s="449">
        <v>4348</v>
      </c>
      <c r="F97" s="448">
        <v>4005</v>
      </c>
      <c r="G97" s="452">
        <v>4003.65</v>
      </c>
      <c r="H97" s="452">
        <v>17520</v>
      </c>
      <c r="I97" s="452">
        <v>20000</v>
      </c>
      <c r="J97" s="457">
        <v>40000</v>
      </c>
      <c r="K97" s="269"/>
      <c r="L97" s="269"/>
    </row>
    <row r="98" spans="1:12" s="161" customFormat="1" ht="15">
      <c r="A98" s="171"/>
      <c r="B98" s="193">
        <v>4</v>
      </c>
      <c r="C98" s="173" t="s">
        <v>402</v>
      </c>
      <c r="D98" s="182" t="s">
        <v>387</v>
      </c>
      <c r="E98" s="449">
        <v>9295</v>
      </c>
      <c r="F98" s="448">
        <v>7588</v>
      </c>
      <c r="G98" s="452">
        <v>7585.26</v>
      </c>
      <c r="H98" s="452">
        <v>5690</v>
      </c>
      <c r="I98" s="452">
        <v>10000</v>
      </c>
      <c r="J98" s="457">
        <v>30000</v>
      </c>
      <c r="K98" s="269"/>
      <c r="L98" s="269"/>
    </row>
    <row r="99" spans="1:12" s="161" customFormat="1" ht="15">
      <c r="A99" s="171"/>
      <c r="B99" s="193">
        <v>5</v>
      </c>
      <c r="C99" s="173" t="s">
        <v>403</v>
      </c>
      <c r="D99" s="182" t="s">
        <v>387</v>
      </c>
      <c r="E99" s="449">
        <v>3125</v>
      </c>
      <c r="F99" s="448">
        <v>302</v>
      </c>
      <c r="G99" s="452">
        <v>301.8</v>
      </c>
      <c r="H99" s="452">
        <v>10828</v>
      </c>
      <c r="I99" s="452">
        <v>11000</v>
      </c>
      <c r="J99" s="457">
        <v>30000</v>
      </c>
      <c r="K99" s="269"/>
      <c r="L99" s="269"/>
    </row>
    <row r="100" spans="1:12" s="161" customFormat="1" ht="26.25">
      <c r="A100" s="171"/>
      <c r="B100" s="193">
        <v>6</v>
      </c>
      <c r="C100" s="173" t="s">
        <v>404</v>
      </c>
      <c r="D100" s="182" t="s">
        <v>387</v>
      </c>
      <c r="E100" s="449">
        <v>416</v>
      </c>
      <c r="F100" s="448">
        <v>100.05</v>
      </c>
      <c r="G100" s="452">
        <v>100.05</v>
      </c>
      <c r="H100" s="452">
        <v>941</v>
      </c>
      <c r="I100" s="452">
        <v>1000</v>
      </c>
      <c r="J100" s="457">
        <v>2000</v>
      </c>
      <c r="K100" s="269"/>
      <c r="L100" s="269"/>
    </row>
    <row r="101" spans="1:12" s="161" customFormat="1" ht="15">
      <c r="A101" s="171"/>
      <c r="B101" s="193">
        <v>7</v>
      </c>
      <c r="C101" s="173" t="s">
        <v>405</v>
      </c>
      <c r="D101" s="182" t="s">
        <v>387</v>
      </c>
      <c r="E101" s="449">
        <v>1844</v>
      </c>
      <c r="F101" s="448">
        <v>1297.95</v>
      </c>
      <c r="G101" s="452">
        <v>1297.1</v>
      </c>
      <c r="H101" s="452">
        <v>4313</v>
      </c>
      <c r="I101" s="452">
        <v>1864</v>
      </c>
      <c r="J101" s="457">
        <v>13220</v>
      </c>
      <c r="K101" s="269"/>
      <c r="L101" s="269"/>
    </row>
    <row r="102" spans="1:12" s="161" customFormat="1" ht="26.25">
      <c r="A102" s="171"/>
      <c r="B102" s="171"/>
      <c r="C102" s="173" t="s">
        <v>397</v>
      </c>
      <c r="D102" s="192"/>
      <c r="E102" s="436"/>
      <c r="F102" s="438"/>
      <c r="G102" s="454"/>
      <c r="H102" s="454"/>
      <c r="I102" s="454"/>
      <c r="J102" s="458"/>
      <c r="K102" s="283"/>
      <c r="L102" s="283"/>
    </row>
    <row r="103" spans="1:12" s="161" customFormat="1" ht="39">
      <c r="A103" s="171"/>
      <c r="B103" s="171"/>
      <c r="C103" s="173" t="s">
        <v>382</v>
      </c>
      <c r="D103" s="192"/>
      <c r="E103" s="436"/>
      <c r="F103" s="448"/>
      <c r="G103" s="448"/>
      <c r="H103" s="452"/>
      <c r="I103" s="452"/>
      <c r="J103" s="459"/>
      <c r="K103" s="269"/>
      <c r="L103" s="269"/>
    </row>
    <row r="104" spans="1:12" ht="31.5">
      <c r="A104" s="177"/>
      <c r="B104" s="169">
        <v>4</v>
      </c>
      <c r="C104" s="168" t="s">
        <v>406</v>
      </c>
      <c r="D104" s="169"/>
      <c r="E104" s="456">
        <v>0</v>
      </c>
      <c r="F104" s="435">
        <f>F105+F106</f>
        <v>0</v>
      </c>
      <c r="G104" s="435">
        <f>G105+G106</f>
        <v>0</v>
      </c>
      <c r="H104" s="435">
        <f>H105+H106</f>
        <v>0</v>
      </c>
      <c r="I104" s="435">
        <f>I105+I106</f>
        <v>0</v>
      </c>
      <c r="J104" s="435">
        <f>J105+J106</f>
        <v>0</v>
      </c>
      <c r="K104" s="276"/>
      <c r="L104" s="276"/>
    </row>
    <row r="105" spans="1:12" s="161" customFormat="1" ht="15">
      <c r="A105" s="171"/>
      <c r="B105" s="171"/>
      <c r="C105" s="173" t="s">
        <v>407</v>
      </c>
      <c r="D105" s="174">
        <v>2012</v>
      </c>
      <c r="E105" s="436">
        <v>0</v>
      </c>
      <c r="F105" s="438">
        <v>0</v>
      </c>
      <c r="G105" s="438">
        <v>0</v>
      </c>
      <c r="H105" s="438">
        <v>0</v>
      </c>
      <c r="I105" s="438">
        <v>0</v>
      </c>
      <c r="J105" s="438">
        <v>0</v>
      </c>
      <c r="K105" s="275"/>
      <c r="L105" s="275"/>
    </row>
    <row r="106" spans="1:12" s="161" customFormat="1" ht="15">
      <c r="A106" s="171"/>
      <c r="B106" s="171"/>
      <c r="C106" s="173" t="s">
        <v>408</v>
      </c>
      <c r="D106" s="174"/>
      <c r="E106" s="436"/>
      <c r="F106" s="438"/>
      <c r="G106" s="438"/>
      <c r="H106" s="438"/>
      <c r="I106" s="438"/>
      <c r="J106" s="440"/>
      <c r="K106" s="194"/>
      <c r="L106" s="194"/>
    </row>
    <row r="107" spans="1:12" ht="33.75" customHeight="1">
      <c r="A107" s="177"/>
      <c r="B107" s="167">
        <v>5</v>
      </c>
      <c r="C107" s="180" t="s">
        <v>409</v>
      </c>
      <c r="D107" s="180"/>
      <c r="E107" s="434">
        <f aca="true" t="shared" si="19" ref="E107:J107">E108+E109</f>
        <v>128798</v>
      </c>
      <c r="F107" s="434">
        <f t="shared" si="19"/>
        <v>128798</v>
      </c>
      <c r="G107" s="434">
        <f t="shared" si="19"/>
        <v>114534.42</v>
      </c>
      <c r="H107" s="434">
        <f t="shared" si="19"/>
        <v>97548</v>
      </c>
      <c r="I107" s="434">
        <f t="shared" si="19"/>
        <v>58401</v>
      </c>
      <c r="J107" s="434">
        <f t="shared" si="19"/>
        <v>50934</v>
      </c>
      <c r="K107" s="273"/>
      <c r="L107" s="273"/>
    </row>
    <row r="108" spans="1:12" s="161" customFormat="1" ht="15">
      <c r="A108" s="171"/>
      <c r="B108" s="171"/>
      <c r="C108" s="173" t="s">
        <v>410</v>
      </c>
      <c r="D108" s="171"/>
      <c r="E108" s="436"/>
      <c r="F108" s="438"/>
      <c r="G108" s="438"/>
      <c r="H108" s="438"/>
      <c r="I108" s="438"/>
      <c r="J108" s="440"/>
      <c r="K108" s="194"/>
      <c r="L108" s="194"/>
    </row>
    <row r="109" spans="1:12" s="161" customFormat="1" ht="15">
      <c r="A109" s="171"/>
      <c r="B109" s="171"/>
      <c r="C109" s="173" t="s">
        <v>411</v>
      </c>
      <c r="D109" s="171"/>
      <c r="E109" s="438">
        <f aca="true" t="shared" si="20" ref="E109:J109">E111+E112</f>
        <v>128798</v>
      </c>
      <c r="F109" s="438">
        <f t="shared" si="20"/>
        <v>128798</v>
      </c>
      <c r="G109" s="438">
        <f t="shared" si="20"/>
        <v>114534.42</v>
      </c>
      <c r="H109" s="438">
        <f t="shared" si="20"/>
        <v>97548</v>
      </c>
      <c r="I109" s="438">
        <f t="shared" si="20"/>
        <v>58401</v>
      </c>
      <c r="J109" s="438">
        <f t="shared" si="20"/>
        <v>50934</v>
      </c>
      <c r="K109" s="275"/>
      <c r="L109" s="275"/>
    </row>
    <row r="110" spans="1:12" s="161" customFormat="1" ht="15">
      <c r="A110" s="171"/>
      <c r="B110" s="171"/>
      <c r="C110" s="173" t="s">
        <v>173</v>
      </c>
      <c r="D110" s="171"/>
      <c r="E110" s="436"/>
      <c r="F110" s="438"/>
      <c r="G110" s="438"/>
      <c r="H110" s="438"/>
      <c r="I110" s="438"/>
      <c r="J110" s="440"/>
      <c r="K110" s="194"/>
      <c r="L110" s="194"/>
    </row>
    <row r="111" spans="1:12" s="194" customFormat="1" ht="13.5" customHeight="1">
      <c r="A111" s="171"/>
      <c r="B111" s="171"/>
      <c r="C111" s="173" t="s">
        <v>412</v>
      </c>
      <c r="D111" s="173"/>
      <c r="E111" s="438">
        <f aca="true" t="shared" si="21" ref="E111:J111">E25</f>
        <v>97564</v>
      </c>
      <c r="F111" s="438">
        <f t="shared" si="21"/>
        <v>97564</v>
      </c>
      <c r="G111" s="454">
        <f t="shared" si="21"/>
        <v>83551.29</v>
      </c>
      <c r="H111" s="438">
        <f t="shared" si="21"/>
        <v>73902</v>
      </c>
      <c r="I111" s="438">
        <f t="shared" si="21"/>
        <v>50298</v>
      </c>
      <c r="J111" s="438">
        <f t="shared" si="21"/>
        <v>50130</v>
      </c>
      <c r="K111" s="271"/>
      <c r="L111" s="271"/>
    </row>
    <row r="112" spans="1:12" s="194" customFormat="1" ht="15" customHeight="1">
      <c r="A112" s="171"/>
      <c r="B112" s="171"/>
      <c r="C112" s="173" t="s">
        <v>413</v>
      </c>
      <c r="D112" s="173"/>
      <c r="E112" s="436">
        <v>31234</v>
      </c>
      <c r="F112" s="438">
        <f>E112</f>
        <v>31234</v>
      </c>
      <c r="G112" s="455">
        <v>30983.13</v>
      </c>
      <c r="H112" s="454">
        <v>23646</v>
      </c>
      <c r="I112" s="454">
        <v>8103</v>
      </c>
      <c r="J112" s="454">
        <v>804</v>
      </c>
      <c r="K112" s="270"/>
      <c r="L112" s="270"/>
    </row>
    <row r="115" spans="1:12" ht="18" customHeight="1">
      <c r="A115" s="525" t="s">
        <v>313</v>
      </c>
      <c r="B115" s="525"/>
      <c r="C115" s="525"/>
      <c r="D115" s="525"/>
      <c r="E115" s="525"/>
      <c r="F115" s="525"/>
      <c r="G115" s="525"/>
      <c r="H115" s="525"/>
      <c r="I115" s="525"/>
      <c r="J115" s="525"/>
      <c r="K115" s="327"/>
      <c r="L115" s="327"/>
    </row>
    <row r="116" spans="1:12" ht="18">
      <c r="A116" s="465" t="s">
        <v>562</v>
      </c>
      <c r="B116" s="465"/>
      <c r="C116" s="465"/>
      <c r="D116" s="465"/>
      <c r="E116" s="465"/>
      <c r="F116" s="465"/>
      <c r="G116" s="465"/>
      <c r="H116" s="465"/>
      <c r="I116" s="465"/>
      <c r="J116" s="465"/>
      <c r="K116" s="326"/>
      <c r="L116" s="326"/>
    </row>
    <row r="117" spans="1:11" ht="18">
      <c r="A117" s="314"/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</row>
    <row r="118" spans="1:11" ht="18">
      <c r="A118" s="314"/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1:11" ht="18">
      <c r="A119" s="314"/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</row>
    <row r="120" spans="1:11" ht="15.75">
      <c r="A120" s="114"/>
      <c r="B120" s="125"/>
      <c r="C120" s="113"/>
      <c r="D120" s="115"/>
      <c r="E120" s="116"/>
      <c r="F120" s="70"/>
      <c r="G120" s="70"/>
      <c r="H120" s="125"/>
      <c r="I120" s="125"/>
      <c r="J120" s="125"/>
      <c r="K120" s="125"/>
    </row>
    <row r="121" spans="1:11" ht="15.75">
      <c r="A121" s="114"/>
      <c r="B121" s="125"/>
      <c r="C121" s="113"/>
      <c r="D121" s="115"/>
      <c r="E121" s="116"/>
      <c r="F121" s="70"/>
      <c r="G121" s="70"/>
      <c r="H121" s="125"/>
      <c r="I121" s="70"/>
      <c r="J121" s="125"/>
      <c r="K121" s="125"/>
    </row>
    <row r="122" spans="1:11" ht="15.75">
      <c r="A122" s="495" t="s">
        <v>314</v>
      </c>
      <c r="B122" s="495"/>
      <c r="C122" s="495"/>
      <c r="D122" s="495"/>
      <c r="E122" s="495"/>
      <c r="F122" s="495" t="s">
        <v>543</v>
      </c>
      <c r="G122" s="495"/>
      <c r="H122" s="495"/>
      <c r="I122" s="495"/>
      <c r="J122" s="495"/>
      <c r="K122" s="70"/>
    </row>
    <row r="123" spans="1:11" ht="15.75">
      <c r="A123" s="496" t="s">
        <v>492</v>
      </c>
      <c r="B123" s="496"/>
      <c r="C123" s="496"/>
      <c r="D123" s="496"/>
      <c r="E123" s="496"/>
      <c r="F123" s="496" t="s">
        <v>544</v>
      </c>
      <c r="G123" s="496"/>
      <c r="H123" s="496"/>
      <c r="I123" s="496"/>
      <c r="J123" s="496"/>
      <c r="K123" s="70"/>
    </row>
    <row r="124" spans="1:11" ht="15.75">
      <c r="A124" s="234"/>
      <c r="B124" s="234"/>
      <c r="C124" s="234"/>
      <c r="D124" s="115"/>
      <c r="E124" s="116"/>
      <c r="F124" s="504"/>
      <c r="G124" s="504"/>
      <c r="H124" s="504"/>
      <c r="I124" s="504"/>
      <c r="J124" s="504"/>
      <c r="K124" s="504"/>
    </row>
    <row r="125" spans="1:11" ht="15.75">
      <c r="A125" s="234"/>
      <c r="B125" s="234"/>
      <c r="C125" s="234"/>
      <c r="D125" s="115"/>
      <c r="E125" s="116"/>
      <c r="F125" s="300"/>
      <c r="G125" s="300"/>
      <c r="H125" s="300"/>
      <c r="I125" s="300"/>
      <c r="J125" s="300"/>
      <c r="K125" s="300"/>
    </row>
    <row r="126" spans="1:11" ht="15.75">
      <c r="A126" s="234"/>
      <c r="B126" s="234"/>
      <c r="C126" s="234"/>
      <c r="D126" s="115"/>
      <c r="E126" s="116"/>
      <c r="F126" s="300"/>
      <c r="G126" s="300"/>
      <c r="H126" s="300"/>
      <c r="I126" s="300"/>
      <c r="J126" s="300"/>
      <c r="K126" s="300"/>
    </row>
    <row r="127" spans="1:9" ht="15.75" customHeight="1">
      <c r="A127" s="234"/>
      <c r="B127" s="234"/>
      <c r="C127" s="495" t="s">
        <v>563</v>
      </c>
      <c r="D127" s="495"/>
      <c r="E127" s="29"/>
      <c r="F127" s="306"/>
      <c r="G127" s="495" t="s">
        <v>631</v>
      </c>
      <c r="H127" s="495"/>
      <c r="I127" s="495"/>
    </row>
    <row r="128" spans="1:9" ht="15.75" customHeight="1">
      <c r="A128" s="234"/>
      <c r="B128" s="234"/>
      <c r="C128" s="496" t="s">
        <v>634</v>
      </c>
      <c r="D128" s="496"/>
      <c r="E128" s="309"/>
      <c r="F128" s="301"/>
      <c r="G128" s="495" t="s">
        <v>491</v>
      </c>
      <c r="H128" s="495"/>
      <c r="I128" s="495"/>
    </row>
    <row r="129" spans="1:11" ht="15.75">
      <c r="A129" s="234"/>
      <c r="B129" s="234"/>
      <c r="C129" s="234"/>
      <c r="D129" s="115"/>
      <c r="E129" s="116"/>
      <c r="F129" s="70"/>
      <c r="G129" s="70"/>
      <c r="H129" s="125"/>
      <c r="I129" s="70"/>
      <c r="J129" s="125"/>
      <c r="K129" s="125"/>
    </row>
    <row r="130" spans="1:11" ht="15.75">
      <c r="A130" s="234"/>
      <c r="B130" s="234"/>
      <c r="C130" s="234"/>
      <c r="D130" s="115"/>
      <c r="E130" s="116"/>
      <c r="F130" s="70"/>
      <c r="G130" s="70"/>
      <c r="H130" s="125"/>
      <c r="I130" s="70"/>
      <c r="J130" s="125"/>
      <c r="K130" s="125"/>
    </row>
    <row r="131" spans="1:11" ht="15.75">
      <c r="A131" s="307"/>
      <c r="B131" s="307"/>
      <c r="C131" s="308"/>
      <c r="D131" s="115"/>
      <c r="E131" s="116"/>
      <c r="F131" s="70"/>
      <c r="G131" s="70"/>
      <c r="H131" s="125"/>
      <c r="I131" s="70"/>
      <c r="J131" s="125"/>
      <c r="K131" s="125"/>
    </row>
    <row r="132" spans="1:11" ht="15.75">
      <c r="A132" s="307"/>
      <c r="B132" s="125"/>
      <c r="C132" s="125"/>
      <c r="D132" s="115"/>
      <c r="E132" s="116"/>
      <c r="F132" s="70"/>
      <c r="G132" s="70"/>
      <c r="H132" s="125"/>
      <c r="I132" s="70"/>
      <c r="J132" s="125"/>
      <c r="K132" s="125"/>
    </row>
    <row r="133" spans="1:10" ht="15.75" customHeight="1">
      <c r="A133" s="544" t="s">
        <v>316</v>
      </c>
      <c r="B133" s="544"/>
      <c r="C133" s="544"/>
      <c r="D133" s="540" t="s">
        <v>545</v>
      </c>
      <c r="E133" s="540"/>
      <c r="F133" s="540" t="s">
        <v>546</v>
      </c>
      <c r="G133" s="540"/>
      <c r="H133" s="529" t="s">
        <v>565</v>
      </c>
      <c r="I133" s="529"/>
      <c r="J133" s="529"/>
    </row>
    <row r="134" spans="1:10" ht="15.75">
      <c r="A134" s="499" t="s">
        <v>315</v>
      </c>
      <c r="B134" s="499"/>
      <c r="C134" s="499"/>
      <c r="D134" s="540" t="s">
        <v>547</v>
      </c>
      <c r="E134" s="540"/>
      <c r="F134" s="540" t="s">
        <v>548</v>
      </c>
      <c r="G134" s="540"/>
      <c r="H134" s="529" t="s">
        <v>566</v>
      </c>
      <c r="I134" s="529"/>
      <c r="J134" s="529"/>
    </row>
    <row r="135" spans="1:11" ht="15.75">
      <c r="A135" s="234"/>
      <c r="B135" s="234"/>
      <c r="C135" s="125"/>
      <c r="D135" s="115"/>
      <c r="E135" s="116"/>
      <c r="F135" s="70"/>
      <c r="G135" s="70"/>
      <c r="H135" s="125"/>
      <c r="I135" s="70"/>
      <c r="J135" s="125"/>
      <c r="K135" s="125"/>
    </row>
    <row r="136" spans="1:11" ht="15.75">
      <c r="A136" s="234"/>
      <c r="B136" s="234"/>
      <c r="C136" s="125"/>
      <c r="D136" s="115"/>
      <c r="E136" s="116"/>
      <c r="F136" s="70"/>
      <c r="G136" s="70"/>
      <c r="H136" s="125"/>
      <c r="I136" s="70"/>
      <c r="J136" s="125"/>
      <c r="K136" s="125"/>
    </row>
    <row r="137" spans="1:11" ht="15.75">
      <c r="A137" s="234"/>
      <c r="B137" s="234"/>
      <c r="C137" s="125"/>
      <c r="D137" s="115"/>
      <c r="E137" s="116"/>
      <c r="F137" s="70"/>
      <c r="G137" s="70"/>
      <c r="H137" s="125"/>
      <c r="I137" s="70"/>
      <c r="J137" s="125"/>
      <c r="K137" s="125"/>
    </row>
    <row r="138" spans="1:11" ht="15.75">
      <c r="A138" s="234"/>
      <c r="B138" s="234"/>
      <c r="C138" s="125"/>
      <c r="D138" s="115"/>
      <c r="E138" s="116"/>
      <c r="F138" s="70"/>
      <c r="G138" s="70"/>
      <c r="H138" s="125"/>
      <c r="I138" s="70"/>
      <c r="J138" s="125"/>
      <c r="K138" s="125"/>
    </row>
    <row r="139" spans="1:11" ht="15.75" customHeight="1">
      <c r="A139" s="234"/>
      <c r="B139" s="234"/>
      <c r="C139" s="497" t="s">
        <v>564</v>
      </c>
      <c r="D139" s="497"/>
      <c r="E139" s="310"/>
      <c r="F139" s="544" t="s">
        <v>549</v>
      </c>
      <c r="G139" s="544"/>
      <c r="H139" s="125"/>
      <c r="I139" s="70"/>
      <c r="J139" s="125"/>
      <c r="K139" s="125"/>
    </row>
    <row r="140" spans="1:11" ht="15.75">
      <c r="A140" s="234"/>
      <c r="B140" s="234"/>
      <c r="C140" s="499" t="s">
        <v>576</v>
      </c>
      <c r="D140" s="499"/>
      <c r="E140" s="311"/>
      <c r="F140" s="544" t="s">
        <v>550</v>
      </c>
      <c r="G140" s="544"/>
      <c r="H140" s="125"/>
      <c r="I140" s="70"/>
      <c r="J140" s="125"/>
      <c r="K140" s="125"/>
    </row>
    <row r="141" spans="1:11" ht="15.75">
      <c r="A141" s="307"/>
      <c r="B141" s="127"/>
      <c r="C141" s="125"/>
      <c r="D141" s="115"/>
      <c r="E141" s="116"/>
      <c r="F141" s="70"/>
      <c r="G141" s="70"/>
      <c r="H141" s="125"/>
      <c r="I141" s="70"/>
      <c r="J141" s="125"/>
      <c r="K141" s="125"/>
    </row>
    <row r="142" spans="1:11" ht="15.75">
      <c r="A142" s="307"/>
      <c r="B142" s="127"/>
      <c r="C142" s="125"/>
      <c r="D142" s="115"/>
      <c r="E142" s="116"/>
      <c r="F142" s="70"/>
      <c r="G142" s="70"/>
      <c r="H142" s="125"/>
      <c r="I142" s="70"/>
      <c r="J142" s="125"/>
      <c r="K142" s="125"/>
    </row>
    <row r="143" spans="1:11" ht="15.75">
      <c r="A143" s="307"/>
      <c r="B143" s="127"/>
      <c r="C143" s="125"/>
      <c r="D143" s="115"/>
      <c r="E143" s="116"/>
      <c r="F143" s="70"/>
      <c r="G143" s="70"/>
      <c r="H143" s="125"/>
      <c r="I143" s="70"/>
      <c r="J143" s="125"/>
      <c r="K143" s="125"/>
    </row>
    <row r="144" spans="1:11" ht="15.75">
      <c r="A144" s="307"/>
      <c r="B144" s="307"/>
      <c r="C144" s="308"/>
      <c r="D144" s="115"/>
      <c r="E144" s="116"/>
      <c r="F144" s="70"/>
      <c r="G144" s="70"/>
      <c r="H144" s="125"/>
      <c r="I144" s="125"/>
      <c r="J144" s="125"/>
      <c r="K144" s="125"/>
    </row>
    <row r="145" spans="1:11" ht="15.75">
      <c r="A145" s="526" t="s">
        <v>485</v>
      </c>
      <c r="B145" s="526"/>
      <c r="C145" s="526"/>
      <c r="D145" s="526"/>
      <c r="E145" s="116"/>
      <c r="F145" s="70"/>
      <c r="G145" s="70"/>
      <c r="H145" s="70"/>
      <c r="I145" s="70"/>
      <c r="J145" s="70"/>
      <c r="K145" s="70"/>
    </row>
    <row r="146" spans="1:11" ht="15.75">
      <c r="A146" s="527" t="s">
        <v>507</v>
      </c>
      <c r="B146" s="527"/>
      <c r="C146" s="527"/>
      <c r="D146" s="527"/>
      <c r="E146" s="116"/>
      <c r="F146" s="70"/>
      <c r="G146" s="70"/>
      <c r="H146" s="70"/>
      <c r="I146" s="70"/>
      <c r="J146" s="70"/>
      <c r="K146" s="70"/>
    </row>
    <row r="147" spans="1:11" ht="15.75">
      <c r="A147" s="233"/>
      <c r="B147" s="233"/>
      <c r="C147" s="125"/>
      <c r="D147" s="115"/>
      <c r="E147" s="116"/>
      <c r="F147" s="70"/>
      <c r="G147" s="70"/>
      <c r="H147" s="70"/>
      <c r="I147" s="70"/>
      <c r="J147" s="70"/>
      <c r="K147" s="70"/>
    </row>
    <row r="148" spans="1:11" ht="15.75">
      <c r="A148" s="233"/>
      <c r="B148" s="233"/>
      <c r="C148" s="125"/>
      <c r="D148" s="115"/>
      <c r="E148" s="116"/>
      <c r="F148" s="70"/>
      <c r="G148" s="70"/>
      <c r="H148" s="70"/>
      <c r="I148" s="70"/>
      <c r="J148" s="70"/>
      <c r="K148" s="70"/>
    </row>
    <row r="149" spans="1:11" ht="15.75">
      <c r="A149" s="127"/>
      <c r="B149" s="127"/>
      <c r="C149" s="125"/>
      <c r="D149" s="115"/>
      <c r="E149" s="116"/>
      <c r="F149" s="70"/>
      <c r="G149" s="70"/>
      <c r="H149" s="70"/>
      <c r="I149" s="70"/>
      <c r="J149" s="70"/>
      <c r="K149" s="70"/>
    </row>
    <row r="150" spans="1:11" ht="15.75">
      <c r="A150" s="127"/>
      <c r="B150" s="127"/>
      <c r="C150" s="125"/>
      <c r="D150" s="115"/>
      <c r="E150" s="116"/>
      <c r="F150" s="70"/>
      <c r="G150" s="70"/>
      <c r="H150" s="70"/>
      <c r="I150" s="70"/>
      <c r="J150" s="70"/>
      <c r="K150" s="70"/>
    </row>
    <row r="151" spans="1:11" ht="15.75">
      <c r="A151" s="527" t="s">
        <v>508</v>
      </c>
      <c r="B151" s="527"/>
      <c r="C151" s="527"/>
      <c r="D151" s="527"/>
      <c r="E151" s="116"/>
      <c r="F151" s="70"/>
      <c r="G151" s="70"/>
      <c r="H151" s="70"/>
      <c r="I151" s="70"/>
      <c r="J151" s="70"/>
      <c r="K151" s="70"/>
    </row>
  </sheetData>
  <sheetProtection/>
  <mergeCells count="35">
    <mergeCell ref="A151:D151"/>
    <mergeCell ref="A133:C133"/>
    <mergeCell ref="A134:C134"/>
    <mergeCell ref="F140:G140"/>
    <mergeCell ref="A145:D145"/>
    <mergeCell ref="A146:D146"/>
    <mergeCell ref="C140:D140"/>
    <mergeCell ref="C139:D139"/>
    <mergeCell ref="F139:G139"/>
    <mergeCell ref="F133:G133"/>
    <mergeCell ref="C127:D127"/>
    <mergeCell ref="A2:E2"/>
    <mergeCell ref="A7:J7"/>
    <mergeCell ref="A10:A11"/>
    <mergeCell ref="B10:B11"/>
    <mergeCell ref="C10:C11"/>
    <mergeCell ref="F124:H124"/>
    <mergeCell ref="E10:G10"/>
    <mergeCell ref="A115:J115"/>
    <mergeCell ref="A116:J116"/>
    <mergeCell ref="C128:D128"/>
    <mergeCell ref="H10:J10"/>
    <mergeCell ref="A123:E123"/>
    <mergeCell ref="F122:J122"/>
    <mergeCell ref="A122:E122"/>
    <mergeCell ref="F123:J123"/>
    <mergeCell ref="G128:I128"/>
    <mergeCell ref="G127:I127"/>
    <mergeCell ref="D10:D11"/>
    <mergeCell ref="I124:K124"/>
    <mergeCell ref="F134:G134"/>
    <mergeCell ref="D133:E133"/>
    <mergeCell ref="D134:E134"/>
    <mergeCell ref="H133:J133"/>
    <mergeCell ref="H134:J134"/>
  </mergeCells>
  <printOptions/>
  <pageMargins left="0.15748031496062992" right="0.15748031496062992" top="0.31496062992125984" bottom="0.1968503937007874" header="0.15748031496062992" footer="0.2362204724409449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48"/>
  <sheetViews>
    <sheetView zoomScalePageLayoutView="0" workbookViewId="0" topLeftCell="A1">
      <selection activeCell="B34" sqref="B34:C34"/>
    </sheetView>
  </sheetViews>
  <sheetFormatPr defaultColWidth="9.140625" defaultRowHeight="12.75"/>
  <cols>
    <col min="1" max="1" width="6.140625" style="139" customWidth="1"/>
    <col min="2" max="2" width="27.8515625" style="139" customWidth="1"/>
    <col min="3" max="4" width="12.00390625" style="139" customWidth="1"/>
    <col min="5" max="5" width="11.421875" style="139" customWidth="1"/>
    <col min="6" max="6" width="13.140625" style="139" customWidth="1"/>
    <col min="7" max="7" width="13.00390625" style="139" customWidth="1"/>
    <col min="8" max="8" width="16.00390625" style="139" customWidth="1"/>
    <col min="9" max="9" width="11.421875" style="139" customWidth="1"/>
    <col min="10" max="10" width="13.7109375" style="139" customWidth="1"/>
    <col min="11" max="11" width="12.00390625" style="139" customWidth="1"/>
    <col min="12" max="12" width="14.57421875" style="139" customWidth="1"/>
    <col min="13" max="13" width="11.00390625" style="139" customWidth="1"/>
    <col min="14" max="14" width="14.57421875" style="139" customWidth="1"/>
    <col min="15" max="15" width="9.140625" style="139" customWidth="1"/>
    <col min="16" max="16" width="29.7109375" style="139" customWidth="1"/>
    <col min="17" max="17" width="11.8515625" style="139" customWidth="1"/>
    <col min="18" max="18" width="15.8515625" style="139" customWidth="1"/>
    <col min="19" max="19" width="18.421875" style="139" customWidth="1"/>
    <col min="20" max="16384" width="9.140625" style="139" customWidth="1"/>
  </cols>
  <sheetData>
    <row r="1" spans="1:2" ht="15">
      <c r="A1" s="121" t="s">
        <v>0</v>
      </c>
      <c r="B1" s="155"/>
    </row>
    <row r="2" spans="1:11" ht="15">
      <c r="A2" s="240" t="s">
        <v>1</v>
      </c>
      <c r="B2" s="240"/>
      <c r="K2" s="139" t="s">
        <v>414</v>
      </c>
    </row>
    <row r="3" spans="1:11" ht="15">
      <c r="A3" s="159" t="s">
        <v>2</v>
      </c>
      <c r="B3" s="155"/>
      <c r="J3" s="195"/>
      <c r="K3" s="195"/>
    </row>
    <row r="4" spans="1:11" ht="15">
      <c r="A4" s="159" t="s">
        <v>3</v>
      </c>
      <c r="B4" s="155"/>
      <c r="J4" s="195"/>
      <c r="K4" s="195"/>
    </row>
    <row r="5" spans="1:11" ht="15">
      <c r="A5" s="159"/>
      <c r="B5" s="155"/>
      <c r="J5" s="195"/>
      <c r="K5" s="195"/>
    </row>
    <row r="6" spans="1:11" ht="15">
      <c r="A6" s="159"/>
      <c r="B6" s="155"/>
      <c r="J6" s="195"/>
      <c r="K6" s="195"/>
    </row>
    <row r="8" spans="1:12" ht="15">
      <c r="A8" s="547" t="s">
        <v>415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</row>
    <row r="9" spans="1:11" ht="14.25">
      <c r="A9" s="195"/>
      <c r="B9" s="195"/>
      <c r="C9" s="195"/>
      <c r="D9" s="195"/>
      <c r="E9" s="195"/>
      <c r="F9" s="195"/>
      <c r="J9" s="196"/>
      <c r="K9" s="196"/>
    </row>
    <row r="10" spans="1:6" ht="14.25" hidden="1">
      <c r="A10" s="195"/>
      <c r="B10" s="195"/>
      <c r="C10" s="195"/>
      <c r="D10" s="195"/>
      <c r="E10" s="195"/>
      <c r="F10" s="195"/>
    </row>
    <row r="11" spans="1:6" ht="14.25">
      <c r="A11" s="195"/>
      <c r="B11" s="195"/>
      <c r="C11" s="195"/>
      <c r="D11" s="195"/>
      <c r="E11" s="195"/>
      <c r="F11" s="195"/>
    </row>
    <row r="12" ht="12.75">
      <c r="L12" s="197" t="s">
        <v>416</v>
      </c>
    </row>
    <row r="13" spans="1:19" ht="30.75" customHeight="1">
      <c r="A13" s="545" t="s">
        <v>417</v>
      </c>
      <c r="B13" s="548" t="s">
        <v>418</v>
      </c>
      <c r="C13" s="545" t="s">
        <v>585</v>
      </c>
      <c r="D13" s="545" t="s">
        <v>419</v>
      </c>
      <c r="E13" s="545"/>
      <c r="F13" s="545"/>
      <c r="G13" s="545"/>
      <c r="H13" s="545" t="s">
        <v>588</v>
      </c>
      <c r="I13" s="545" t="s">
        <v>511</v>
      </c>
      <c r="J13" s="545" t="s">
        <v>512</v>
      </c>
      <c r="K13" s="545" t="s">
        <v>589</v>
      </c>
      <c r="L13" s="545" t="s">
        <v>590</v>
      </c>
      <c r="P13" s="246" t="s">
        <v>483</v>
      </c>
      <c r="Q13" s="247"/>
      <c r="R13" s="247"/>
      <c r="S13" s="247"/>
    </row>
    <row r="14" spans="1:19" ht="29.25" customHeight="1">
      <c r="A14" s="545"/>
      <c r="B14" s="548"/>
      <c r="C14" s="545"/>
      <c r="D14" s="546" t="s">
        <v>586</v>
      </c>
      <c r="E14" s="545" t="s">
        <v>587</v>
      </c>
      <c r="F14" s="545"/>
      <c r="G14" s="545"/>
      <c r="H14" s="545"/>
      <c r="I14" s="545"/>
      <c r="J14" s="545"/>
      <c r="K14" s="545"/>
      <c r="L14" s="545"/>
      <c r="P14" s="247"/>
      <c r="Q14" s="247"/>
      <c r="R14" s="247"/>
      <c r="S14" s="247"/>
    </row>
    <row r="15" spans="1:19" ht="38.25" customHeight="1">
      <c r="A15" s="545"/>
      <c r="B15" s="548"/>
      <c r="C15" s="545"/>
      <c r="D15" s="546"/>
      <c r="E15" s="229" t="s">
        <v>421</v>
      </c>
      <c r="F15" s="229" t="s">
        <v>422</v>
      </c>
      <c r="G15" s="229" t="s">
        <v>423</v>
      </c>
      <c r="H15" s="545"/>
      <c r="I15" s="545"/>
      <c r="J15" s="545"/>
      <c r="K15" s="545"/>
      <c r="L15" s="545"/>
      <c r="P15" s="248"/>
      <c r="Q15" s="249"/>
      <c r="R15" s="249"/>
      <c r="S15" s="250"/>
    </row>
    <row r="16" spans="1:19" ht="12.75">
      <c r="A16" s="236">
        <v>0</v>
      </c>
      <c r="B16" s="236">
        <v>1</v>
      </c>
      <c r="C16" s="237">
        <v>2</v>
      </c>
      <c r="D16" s="237" t="s">
        <v>424</v>
      </c>
      <c r="E16" s="237">
        <v>4</v>
      </c>
      <c r="F16" s="237">
        <v>5</v>
      </c>
      <c r="G16" s="237">
        <v>6</v>
      </c>
      <c r="H16" s="198" t="s">
        <v>425</v>
      </c>
      <c r="I16" s="237">
        <v>8</v>
      </c>
      <c r="J16" s="198" t="s">
        <v>426</v>
      </c>
      <c r="K16" s="237">
        <v>10</v>
      </c>
      <c r="L16" s="198" t="s">
        <v>427</v>
      </c>
      <c r="P16" s="248" t="s">
        <v>434</v>
      </c>
      <c r="Q16" s="249">
        <v>1107351.87</v>
      </c>
      <c r="R16" s="251">
        <v>1076317.2986533334</v>
      </c>
      <c r="S16" s="251">
        <v>1538357.3869142933</v>
      </c>
    </row>
    <row r="17" spans="1:19" s="200" customFormat="1" ht="37.5" customHeight="1">
      <c r="A17" s="199" t="s">
        <v>428</v>
      </c>
      <c r="B17" s="238" t="s">
        <v>429</v>
      </c>
      <c r="C17" s="239">
        <f>C18+C19</f>
        <v>276900</v>
      </c>
      <c r="D17" s="239">
        <f>E17+F17+G17</f>
        <v>41535</v>
      </c>
      <c r="E17" s="239">
        <f>E18+E19</f>
        <v>41535</v>
      </c>
      <c r="F17" s="239">
        <f>F18+F19</f>
        <v>0</v>
      </c>
      <c r="G17" s="239">
        <f>G18+G19</f>
        <v>0</v>
      </c>
      <c r="H17" s="239">
        <f>SUM(H18+H19)</f>
        <v>235365</v>
      </c>
      <c r="I17" s="239">
        <f>SUM(I18+I19)</f>
        <v>3000</v>
      </c>
      <c r="J17" s="239">
        <f>SUM(J18+J19)</f>
        <v>232365</v>
      </c>
      <c r="K17" s="239">
        <f>SUM(K18+K19)</f>
        <v>3000</v>
      </c>
      <c r="L17" s="239">
        <f>SUM(L18+L19)</f>
        <v>229365</v>
      </c>
      <c r="N17" s="201"/>
      <c r="P17" s="252" t="s">
        <v>435</v>
      </c>
      <c r="Q17" s="253">
        <v>1031448.89</v>
      </c>
      <c r="R17" s="254">
        <v>1016217.20292</v>
      </c>
      <c r="S17" s="254">
        <v>1021055.957993</v>
      </c>
    </row>
    <row r="18" spans="1:19" ht="22.5" customHeight="1">
      <c r="A18" s="219" t="s">
        <v>430</v>
      </c>
      <c r="B18" s="244" t="s">
        <v>431</v>
      </c>
      <c r="C18" s="154">
        <v>0</v>
      </c>
      <c r="D18" s="154">
        <f>E18+F18+G18</f>
        <v>0</v>
      </c>
      <c r="E18" s="154">
        <v>0</v>
      </c>
      <c r="F18" s="154">
        <v>0</v>
      </c>
      <c r="G18" s="154">
        <v>0</v>
      </c>
      <c r="H18" s="154">
        <f>C18-D18</f>
        <v>0</v>
      </c>
      <c r="I18" s="154">
        <v>0</v>
      </c>
      <c r="J18" s="154">
        <f>H18-I18</f>
        <v>0</v>
      </c>
      <c r="K18" s="154">
        <v>0</v>
      </c>
      <c r="L18" s="154">
        <f>J18-K18</f>
        <v>0</v>
      </c>
      <c r="N18" s="196"/>
      <c r="P18" s="252" t="s">
        <v>436</v>
      </c>
      <c r="Q18" s="253">
        <v>247547.7336</v>
      </c>
      <c r="R18" s="253">
        <v>243892.12870079998</v>
      </c>
      <c r="S18" s="253">
        <v>245053.42991832</v>
      </c>
    </row>
    <row r="19" spans="1:19" ht="21.75" customHeight="1">
      <c r="A19" s="219" t="s">
        <v>432</v>
      </c>
      <c r="B19" s="219" t="s">
        <v>433</v>
      </c>
      <c r="C19" s="154">
        <v>276900</v>
      </c>
      <c r="D19" s="154">
        <f>E19+F19+G19</f>
        <v>41535</v>
      </c>
      <c r="E19" s="154">
        <f>C19-'Anexa 2'!J197</f>
        <v>41535</v>
      </c>
      <c r="F19" s="154">
        <v>0</v>
      </c>
      <c r="G19" s="154">
        <v>0</v>
      </c>
      <c r="H19" s="154">
        <f>C19-D19</f>
        <v>235365</v>
      </c>
      <c r="I19" s="154">
        <v>3000</v>
      </c>
      <c r="J19" s="154">
        <f>H19-I19</f>
        <v>232365</v>
      </c>
      <c r="K19" s="154">
        <v>3000</v>
      </c>
      <c r="L19" s="154">
        <f>J19-K19</f>
        <v>229365</v>
      </c>
      <c r="N19" s="196"/>
      <c r="P19" s="252" t="s">
        <v>437</v>
      </c>
      <c r="Q19" s="253">
        <v>1278996.6236</v>
      </c>
      <c r="R19" s="253">
        <v>1260109.3316207998</v>
      </c>
      <c r="S19" s="253">
        <v>1266109.38791132</v>
      </c>
    </row>
    <row r="20" spans="2:19" s="203" customFormat="1" ht="12.75">
      <c r="B20" s="202"/>
      <c r="C20" s="202"/>
      <c r="D20" s="202"/>
      <c r="E20" s="202"/>
      <c r="F20" s="204"/>
      <c r="G20" s="202"/>
      <c r="H20" s="202"/>
      <c r="P20" s="247"/>
      <c r="Q20" s="247"/>
      <c r="R20" s="247"/>
      <c r="S20" s="247"/>
    </row>
    <row r="21" spans="2:19" s="203" customFormat="1" ht="12.75">
      <c r="B21" s="202"/>
      <c r="C21" s="202"/>
      <c r="D21" s="202"/>
      <c r="E21" s="315"/>
      <c r="F21" s="204"/>
      <c r="G21" s="202"/>
      <c r="H21" s="202"/>
      <c r="P21" s="247"/>
      <c r="Q21" s="247"/>
      <c r="R21" s="247"/>
      <c r="S21" s="247"/>
    </row>
    <row r="22" spans="2:19" s="203" customFormat="1" ht="12.75">
      <c r="B22" s="202"/>
      <c r="C22" s="202"/>
      <c r="D22" s="202"/>
      <c r="E22" s="202"/>
      <c r="F22" s="204"/>
      <c r="G22" s="202"/>
      <c r="H22" s="202"/>
      <c r="P22" s="247"/>
      <c r="Q22" s="247"/>
      <c r="R22" s="247"/>
      <c r="S22" s="247"/>
    </row>
    <row r="23" spans="1:12" s="203" customFormat="1" ht="18" customHeight="1">
      <c r="A23" s="525" t="s">
        <v>313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</row>
    <row r="24" spans="1:12" ht="18">
      <c r="A24" s="465" t="s">
        <v>562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</row>
    <row r="25" spans="1:12" ht="18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</row>
    <row r="26" spans="1:12" ht="14.25">
      <c r="A26" s="114"/>
      <c r="B26"/>
      <c r="C26" s="113"/>
      <c r="D26" s="115"/>
      <c r="E26" s="116"/>
      <c r="F26" s="70"/>
      <c r="G26" s="70"/>
      <c r="H26" s="70"/>
      <c r="I26"/>
      <c r="J26" s="70"/>
      <c r="K26"/>
      <c r="L26"/>
    </row>
    <row r="27" spans="1:12" ht="15.75" customHeight="1">
      <c r="A27" s="495" t="s">
        <v>314</v>
      </c>
      <c r="B27" s="495"/>
      <c r="C27" s="29"/>
      <c r="D27" s="29"/>
      <c r="E27" s="29"/>
      <c r="F27" s="495" t="s">
        <v>543</v>
      </c>
      <c r="G27" s="495"/>
      <c r="H27" s="495"/>
      <c r="I27" s="495"/>
      <c r="J27" s="495"/>
      <c r="K27" s="495"/>
      <c r="L27" s="70"/>
    </row>
    <row r="28" spans="1:12" ht="15.75">
      <c r="A28" s="496" t="s">
        <v>492</v>
      </c>
      <c r="B28" s="496"/>
      <c r="C28" s="309"/>
      <c r="D28" s="309"/>
      <c r="E28" s="309"/>
      <c r="F28" s="496" t="s">
        <v>544</v>
      </c>
      <c r="G28" s="496"/>
      <c r="H28" s="496"/>
      <c r="I28" s="496"/>
      <c r="J28" s="496"/>
      <c r="K28" s="496"/>
      <c r="L28" s="70"/>
    </row>
    <row r="29" spans="1:12" ht="15.75">
      <c r="A29" s="234"/>
      <c r="B29" s="234"/>
      <c r="C29" s="234"/>
      <c r="D29" s="115"/>
      <c r="E29" s="116"/>
      <c r="F29" s="504"/>
      <c r="G29" s="504"/>
      <c r="H29" s="504"/>
      <c r="I29" s="504"/>
      <c r="J29" s="504"/>
      <c r="K29" s="504"/>
      <c r="L29" s="504"/>
    </row>
    <row r="30" spans="1:12" ht="15.75">
      <c r="A30" s="234"/>
      <c r="B30" s="234"/>
      <c r="C30" s="234"/>
      <c r="D30" s="115"/>
      <c r="E30" s="116"/>
      <c r="F30" s="300"/>
      <c r="G30" s="300"/>
      <c r="H30" s="300"/>
      <c r="I30" s="300"/>
      <c r="J30" s="300"/>
      <c r="K30" s="300"/>
      <c r="L30" s="300"/>
    </row>
    <row r="31" spans="1:12" ht="15.75">
      <c r="A31" s="234"/>
      <c r="B31" s="234"/>
      <c r="C31" s="234"/>
      <c r="D31" s="115"/>
      <c r="E31" s="116"/>
      <c r="F31" s="300"/>
      <c r="G31" s="300"/>
      <c r="H31" s="300"/>
      <c r="I31" s="300"/>
      <c r="J31" s="300"/>
      <c r="K31" s="300"/>
      <c r="L31" s="300"/>
    </row>
    <row r="32" spans="1:12" ht="15.75">
      <c r="A32" s="234"/>
      <c r="B32" s="29"/>
      <c r="C32" s="29"/>
      <c r="D32" s="29"/>
      <c r="E32" s="306"/>
      <c r="F32" s="125"/>
      <c r="G32" s="495" t="s">
        <v>631</v>
      </c>
      <c r="H32" s="495"/>
      <c r="I32" s="495"/>
      <c r="J32" s="125"/>
      <c r="K32" s="125"/>
      <c r="L32" s="300"/>
    </row>
    <row r="33" spans="1:12" ht="15.75">
      <c r="A33" s="234"/>
      <c r="B33" s="495" t="s">
        <v>563</v>
      </c>
      <c r="C33" s="495"/>
      <c r="D33" s="309"/>
      <c r="E33" s="301"/>
      <c r="F33" s="125"/>
      <c r="G33" s="495" t="s">
        <v>491</v>
      </c>
      <c r="H33" s="495"/>
      <c r="I33" s="495"/>
      <c r="J33" s="125"/>
      <c r="K33" s="125"/>
      <c r="L33" s="300"/>
    </row>
    <row r="34" spans="1:12" ht="15.75">
      <c r="A34" s="234"/>
      <c r="B34" s="496" t="s">
        <v>634</v>
      </c>
      <c r="C34" s="496"/>
      <c r="D34" s="309"/>
      <c r="E34" s="116"/>
      <c r="F34" s="70"/>
      <c r="G34" s="70"/>
      <c r="H34" s="70"/>
      <c r="I34"/>
      <c r="J34" s="70"/>
      <c r="K34"/>
      <c r="L34"/>
    </row>
    <row r="35" spans="1:12" ht="14.25">
      <c r="A35" s="307"/>
      <c r="B35" s="307"/>
      <c r="C35" s="308"/>
      <c r="D35" s="115"/>
      <c r="E35" s="116"/>
      <c r="F35" s="70"/>
      <c r="G35" s="70"/>
      <c r="H35" s="70"/>
      <c r="I35"/>
      <c r="J35" s="70"/>
      <c r="K35"/>
      <c r="L35"/>
    </row>
    <row r="36" spans="1:12" ht="14.25">
      <c r="A36" s="307"/>
      <c r="B36" s="125"/>
      <c r="C36" s="125"/>
      <c r="D36" s="115"/>
      <c r="E36" s="116"/>
      <c r="F36" s="70"/>
      <c r="G36" s="70"/>
      <c r="H36" s="70"/>
      <c r="I36"/>
      <c r="J36" s="70"/>
      <c r="K36"/>
      <c r="L36"/>
    </row>
    <row r="37" spans="1:15" ht="12.75">
      <c r="A37" s="497" t="s">
        <v>316</v>
      </c>
      <c r="B37" s="497"/>
      <c r="C37" s="303"/>
      <c r="D37" s="529" t="s">
        <v>545</v>
      </c>
      <c r="E37" s="529"/>
      <c r="F37" s="529"/>
      <c r="G37" s="305"/>
      <c r="H37" s="529" t="s">
        <v>546</v>
      </c>
      <c r="I37" s="529"/>
      <c r="J37" s="304"/>
      <c r="K37" s="529" t="s">
        <v>565</v>
      </c>
      <c r="L37" s="529"/>
      <c r="M37" s="529"/>
      <c r="N37" s="304"/>
      <c r="O37" s="304"/>
    </row>
    <row r="38" spans="1:15" ht="12.75">
      <c r="A38" s="528" t="s">
        <v>315</v>
      </c>
      <c r="B38" s="528"/>
      <c r="C38" s="302"/>
      <c r="D38" s="529" t="s">
        <v>547</v>
      </c>
      <c r="E38" s="529"/>
      <c r="F38" s="529"/>
      <c r="G38" s="305"/>
      <c r="H38" s="529" t="s">
        <v>548</v>
      </c>
      <c r="I38" s="529"/>
      <c r="J38" s="304"/>
      <c r="K38" s="529" t="s">
        <v>566</v>
      </c>
      <c r="L38" s="529"/>
      <c r="M38" s="529"/>
      <c r="N38" s="304"/>
      <c r="O38" s="304"/>
    </row>
    <row r="39" spans="1:12" ht="15">
      <c r="A39" s="234"/>
      <c r="B39" s="234"/>
      <c r="C39" s="125"/>
      <c r="D39" s="115"/>
      <c r="E39" s="116"/>
      <c r="F39" s="70"/>
      <c r="G39" s="70"/>
      <c r="H39" s="70"/>
      <c r="I39"/>
      <c r="J39" s="70"/>
      <c r="K39"/>
      <c r="L39"/>
    </row>
    <row r="40" spans="1:12" ht="15">
      <c r="A40" s="234"/>
      <c r="B40" s="234"/>
      <c r="C40" s="125"/>
      <c r="D40" s="115"/>
      <c r="E40" s="116"/>
      <c r="F40" s="70"/>
      <c r="G40" s="70"/>
      <c r="H40" s="70"/>
      <c r="I40"/>
      <c r="J40" s="70"/>
      <c r="K40"/>
      <c r="L40"/>
    </row>
    <row r="41" spans="1:12" ht="15" customHeight="1">
      <c r="A41" s="234"/>
      <c r="B41" s="234"/>
      <c r="C41" s="497" t="s">
        <v>564</v>
      </c>
      <c r="D41" s="497"/>
      <c r="E41" s="497"/>
      <c r="F41" s="303"/>
      <c r="G41" s="497" t="s">
        <v>549</v>
      </c>
      <c r="H41" s="497"/>
      <c r="I41"/>
      <c r="J41" s="70"/>
      <c r="K41"/>
      <c r="L41"/>
    </row>
    <row r="42" spans="1:12" ht="15">
      <c r="A42" s="234"/>
      <c r="B42" s="234"/>
      <c r="C42" s="499" t="s">
        <v>576</v>
      </c>
      <c r="D42" s="499"/>
      <c r="E42" s="499"/>
      <c r="F42" s="302"/>
      <c r="G42" s="497" t="s">
        <v>550</v>
      </c>
      <c r="H42" s="497"/>
      <c r="I42"/>
      <c r="J42" s="70"/>
      <c r="K42"/>
      <c r="L42"/>
    </row>
    <row r="43" spans="1:12" ht="14.25">
      <c r="A43" s="307"/>
      <c r="B43" s="127"/>
      <c r="C43" s="125"/>
      <c r="D43" s="115"/>
      <c r="E43" s="116"/>
      <c r="F43" s="70"/>
      <c r="G43" s="70"/>
      <c r="H43" s="70"/>
      <c r="I43"/>
      <c r="J43" s="70"/>
      <c r="K43"/>
      <c r="L43"/>
    </row>
    <row r="44" spans="1:12" ht="14.25">
      <c r="A44" s="526" t="s">
        <v>485</v>
      </c>
      <c r="B44" s="526"/>
      <c r="C44" s="526"/>
      <c r="D44" s="526"/>
      <c r="E44" s="116"/>
      <c r="F44" s="70"/>
      <c r="G44" s="70"/>
      <c r="H44" s="70"/>
      <c r="I44" s="70"/>
      <c r="J44" s="69"/>
      <c r="K44" s="69"/>
      <c r="L44" s="70"/>
    </row>
    <row r="45" spans="1:12" ht="14.25">
      <c r="A45" s="527" t="s">
        <v>507</v>
      </c>
      <c r="B45" s="527"/>
      <c r="C45" s="527"/>
      <c r="D45" s="527"/>
      <c r="E45" s="116"/>
      <c r="F45" s="70"/>
      <c r="G45" s="70"/>
      <c r="H45" s="70"/>
      <c r="I45" s="70"/>
      <c r="J45" s="69"/>
      <c r="K45" s="69"/>
      <c r="L45" s="70"/>
    </row>
    <row r="46" spans="1:12" ht="14.25">
      <c r="A46" s="233"/>
      <c r="B46" s="233"/>
      <c r="C46" s="125"/>
      <c r="D46" s="115"/>
      <c r="E46" s="116"/>
      <c r="F46" s="70"/>
      <c r="G46" s="70"/>
      <c r="H46" s="70"/>
      <c r="I46" s="70"/>
      <c r="J46" s="69"/>
      <c r="K46" s="69"/>
      <c r="L46" s="70"/>
    </row>
    <row r="47" spans="1:12" ht="14.25">
      <c r="A47" s="233"/>
      <c r="B47" s="498" t="s">
        <v>508</v>
      </c>
      <c r="C47" s="498"/>
      <c r="D47" s="498"/>
      <c r="E47" s="498"/>
      <c r="F47" s="70"/>
      <c r="G47" s="70"/>
      <c r="H47" s="70"/>
      <c r="I47" s="70"/>
      <c r="J47" s="69"/>
      <c r="K47" s="69"/>
      <c r="L47" s="70"/>
    </row>
    <row r="48" spans="1:12" ht="14.25">
      <c r="A48" s="127"/>
      <c r="F48" s="70"/>
      <c r="G48" s="70"/>
      <c r="H48" s="70"/>
      <c r="I48" s="70"/>
      <c r="J48" s="69"/>
      <c r="K48" s="69"/>
      <c r="L48" s="70"/>
    </row>
  </sheetData>
  <sheetProtection/>
  <mergeCells count="39">
    <mergeCell ref="D14:D15"/>
    <mergeCell ref="E14:G14"/>
    <mergeCell ref="A8:L8"/>
    <mergeCell ref="A13:A15"/>
    <mergeCell ref="B13:B15"/>
    <mergeCell ref="H13:H15"/>
    <mergeCell ref="I13:I15"/>
    <mergeCell ref="C13:C15"/>
    <mergeCell ref="L13:L15"/>
    <mergeCell ref="K13:K15"/>
    <mergeCell ref="J13:J15"/>
    <mergeCell ref="D13:G13"/>
    <mergeCell ref="J29:L29"/>
    <mergeCell ref="H38:I38"/>
    <mergeCell ref="D37:F37"/>
    <mergeCell ref="H37:I37"/>
    <mergeCell ref="A23:L23"/>
    <mergeCell ref="A28:B28"/>
    <mergeCell ref="F27:K27"/>
    <mergeCell ref="F28:K28"/>
    <mergeCell ref="B47:E47"/>
    <mergeCell ref="A45:D45"/>
    <mergeCell ref="A37:B37"/>
    <mergeCell ref="A38:B38"/>
    <mergeCell ref="A44:D44"/>
    <mergeCell ref="C42:E42"/>
    <mergeCell ref="A24:L24"/>
    <mergeCell ref="G41:H41"/>
    <mergeCell ref="G32:I32"/>
    <mergeCell ref="G33:I33"/>
    <mergeCell ref="A27:B27"/>
    <mergeCell ref="D38:F38"/>
    <mergeCell ref="F29:I29"/>
    <mergeCell ref="G42:H42"/>
    <mergeCell ref="B33:C33"/>
    <mergeCell ref="B34:C34"/>
    <mergeCell ref="K37:M37"/>
    <mergeCell ref="K38:M38"/>
    <mergeCell ref="C41:E41"/>
  </mergeCells>
  <printOptions/>
  <pageMargins left="0.1968503937007874" right="0.2362204724409449" top="0.2755905511811024" bottom="0.15748031496062992" header="0.15748031496062992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C4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421875" style="205" customWidth="1"/>
    <col min="2" max="2" width="23.57421875" style="205" customWidth="1"/>
    <col min="3" max="3" width="13.140625" style="205" customWidth="1"/>
    <col min="4" max="4" width="9.7109375" style="205" customWidth="1"/>
    <col min="5" max="5" width="13.421875" style="205" bestFit="1" customWidth="1"/>
    <col min="6" max="7" width="12.28125" style="205" customWidth="1"/>
    <col min="8" max="8" width="11.28125" style="205" customWidth="1"/>
    <col min="9" max="9" width="12.8515625" style="205" customWidth="1"/>
    <col min="10" max="10" width="9.8515625" style="205" customWidth="1"/>
    <col min="11" max="12" width="12.28125" style="205" customWidth="1"/>
    <col min="13" max="13" width="11.28125" style="205" bestFit="1" customWidth="1"/>
    <col min="14" max="14" width="12.00390625" style="205" customWidth="1"/>
    <col min="15" max="15" width="10.00390625" style="205" customWidth="1"/>
    <col min="16" max="16" width="12.8515625" style="205" customWidth="1"/>
    <col min="17" max="17" width="12.28125" style="205" customWidth="1"/>
    <col min="18" max="18" width="13.28125" style="205" customWidth="1"/>
    <col min="19" max="19" width="12.28125" style="205" customWidth="1"/>
    <col min="20" max="20" width="10.57421875" style="205" customWidth="1"/>
    <col min="21" max="21" width="12.8515625" style="205" customWidth="1"/>
    <col min="22" max="22" width="12.28125" style="205" customWidth="1"/>
    <col min="23" max="24" width="13.28125" style="205" customWidth="1"/>
    <col min="25" max="25" width="11.8515625" style="205" customWidth="1"/>
    <col min="26" max="26" width="12.8515625" style="205" hidden="1" customWidth="1"/>
    <col min="27" max="27" width="12.28125" style="205" hidden="1" customWidth="1"/>
    <col min="28" max="28" width="12.57421875" style="205" hidden="1" customWidth="1"/>
    <col min="29" max="29" width="8.57421875" style="205" hidden="1" customWidth="1"/>
    <col min="30" max="16384" width="9.140625" style="205" customWidth="1"/>
  </cols>
  <sheetData>
    <row r="1" spans="1:6" ht="14.25" customHeight="1">
      <c r="A1" s="1" t="s">
        <v>0</v>
      </c>
      <c r="C1" s="2"/>
      <c r="D1" s="3"/>
      <c r="E1" s="2"/>
      <c r="F1" s="118"/>
    </row>
    <row r="2" spans="1:6" ht="15" customHeight="1">
      <c r="A2" s="240" t="s">
        <v>1</v>
      </c>
      <c r="C2" s="240"/>
      <c r="D2" s="240"/>
      <c r="E2" s="240"/>
      <c r="F2" s="240"/>
    </row>
    <row r="3" spans="1:24" ht="14.25" customHeight="1">
      <c r="A3" s="206" t="s">
        <v>2</v>
      </c>
      <c r="C3" s="2"/>
      <c r="D3" s="3"/>
      <c r="E3" s="2"/>
      <c r="F3" s="118"/>
      <c r="S3" s="256" t="s">
        <v>516</v>
      </c>
      <c r="X3" s="260"/>
    </row>
    <row r="4" spans="1:24" ht="14.25" customHeight="1">
      <c r="A4" s="206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1:29" ht="12.75">
      <c r="A5" s="261"/>
      <c r="B5" s="161"/>
      <c r="C5" s="161"/>
      <c r="D5" s="161"/>
      <c r="E5" s="161"/>
      <c r="F5" s="161"/>
      <c r="G5" s="319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261"/>
      <c r="Z5" s="261"/>
      <c r="AA5" s="261"/>
      <c r="AB5" s="257"/>
      <c r="AC5" s="261"/>
    </row>
    <row r="6" spans="1:29" ht="18.75">
      <c r="A6" s="261"/>
      <c r="B6" s="555" t="s">
        <v>438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161"/>
      <c r="V6" s="161"/>
      <c r="W6" s="161"/>
      <c r="X6" s="161"/>
      <c r="Y6" s="261"/>
      <c r="Z6" s="261"/>
      <c r="AA6" s="261"/>
      <c r="AB6" s="261"/>
      <c r="AC6" s="261"/>
    </row>
    <row r="7" spans="1:29" ht="12.75">
      <c r="A7" s="2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261"/>
      <c r="Z7" s="261"/>
      <c r="AA7" s="261"/>
      <c r="AB7" s="261"/>
      <c r="AC7" s="261"/>
    </row>
    <row r="8" spans="1:29" ht="12.75">
      <c r="A8" s="2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261"/>
      <c r="Z8" s="261"/>
      <c r="AA8" s="261"/>
      <c r="AB8" s="259"/>
      <c r="AC8" s="261"/>
    </row>
    <row r="9" spans="1:25" s="161" customFormat="1" ht="15.75" customHeight="1">
      <c r="A9" s="556" t="s">
        <v>439</v>
      </c>
      <c r="B9" s="556"/>
      <c r="C9" s="556" t="s">
        <v>440</v>
      </c>
      <c r="D9" s="556" t="s">
        <v>441</v>
      </c>
      <c r="E9" s="557" t="s">
        <v>591</v>
      </c>
      <c r="F9" s="556" t="s">
        <v>592</v>
      </c>
      <c r="G9" s="556"/>
      <c r="H9" s="556"/>
      <c r="I9" s="556"/>
      <c r="J9" s="556"/>
      <c r="K9" s="556" t="s">
        <v>593</v>
      </c>
      <c r="L9" s="556"/>
      <c r="M9" s="556"/>
      <c r="N9" s="556"/>
      <c r="O9" s="556"/>
      <c r="P9" s="556" t="s">
        <v>594</v>
      </c>
      <c r="Q9" s="556"/>
      <c r="R9" s="556"/>
      <c r="S9" s="556"/>
      <c r="T9" s="556"/>
      <c r="Y9" s="178"/>
    </row>
    <row r="10" spans="1:20" s="161" customFormat="1" ht="38.25">
      <c r="A10" s="556"/>
      <c r="B10" s="556"/>
      <c r="C10" s="556"/>
      <c r="D10" s="556"/>
      <c r="E10" s="557"/>
      <c r="F10" s="335" t="s">
        <v>442</v>
      </c>
      <c r="G10" s="335" t="s">
        <v>443</v>
      </c>
      <c r="H10" s="335" t="s">
        <v>444</v>
      </c>
      <c r="I10" s="336" t="s">
        <v>445</v>
      </c>
      <c r="J10" s="335" t="s">
        <v>446</v>
      </c>
      <c r="K10" s="335" t="s">
        <v>442</v>
      </c>
      <c r="L10" s="335" t="s">
        <v>443</v>
      </c>
      <c r="M10" s="335" t="s">
        <v>444</v>
      </c>
      <c r="N10" s="336" t="s">
        <v>445</v>
      </c>
      <c r="O10" s="335" t="s">
        <v>446</v>
      </c>
      <c r="P10" s="335" t="s">
        <v>442</v>
      </c>
      <c r="Q10" s="335" t="s">
        <v>443</v>
      </c>
      <c r="R10" s="335" t="s">
        <v>444</v>
      </c>
      <c r="S10" s="336" t="s">
        <v>445</v>
      </c>
      <c r="T10" s="335" t="s">
        <v>446</v>
      </c>
    </row>
    <row r="11" spans="1:20" s="262" customFormat="1" ht="12.75">
      <c r="A11" s="556">
        <v>0</v>
      </c>
      <c r="B11" s="556">
        <v>1</v>
      </c>
      <c r="C11" s="335">
        <v>1</v>
      </c>
      <c r="D11" s="335">
        <v>2</v>
      </c>
      <c r="E11" s="336">
        <v>3</v>
      </c>
      <c r="F11" s="335">
        <v>4</v>
      </c>
      <c r="G11" s="335">
        <v>5</v>
      </c>
      <c r="H11" s="335">
        <v>6</v>
      </c>
      <c r="I11" s="336">
        <v>7</v>
      </c>
      <c r="J11" s="335">
        <v>8</v>
      </c>
      <c r="K11" s="335">
        <v>9</v>
      </c>
      <c r="L11" s="335">
        <v>10</v>
      </c>
      <c r="M11" s="335">
        <v>11</v>
      </c>
      <c r="N11" s="336">
        <v>12</v>
      </c>
      <c r="O11" s="335">
        <v>13</v>
      </c>
      <c r="P11" s="335">
        <v>14</v>
      </c>
      <c r="Q11" s="335">
        <v>15</v>
      </c>
      <c r="R11" s="335">
        <v>16</v>
      </c>
      <c r="S11" s="336">
        <v>17</v>
      </c>
      <c r="T11" s="335">
        <v>18</v>
      </c>
    </row>
    <row r="12" spans="1:20" s="207" customFormat="1" ht="24.75" customHeight="1">
      <c r="A12" s="554" t="s">
        <v>636</v>
      </c>
      <c r="B12" s="554"/>
      <c r="C12" s="343">
        <f>+C16+C14+C18</f>
        <v>1174863.8940945151</v>
      </c>
      <c r="D12" s="343"/>
      <c r="E12" s="343">
        <f>+E16+E14+E18</f>
        <v>776093.4897064284</v>
      </c>
      <c r="F12" s="343">
        <f>+F16+F14+F18</f>
        <v>89139.8928</v>
      </c>
      <c r="G12" s="343">
        <f>+G16+G14+G18</f>
        <v>73901.87280000001</v>
      </c>
      <c r="H12" s="343">
        <f>+H16+H14+H18</f>
        <v>15238.02</v>
      </c>
      <c r="I12" s="343"/>
      <c r="J12" s="343">
        <f>+J16+J14+J18</f>
        <v>0</v>
      </c>
      <c r="K12" s="343">
        <f>+K16+K14+K18</f>
        <v>63806.7528</v>
      </c>
      <c r="L12" s="343">
        <f>+L16+L14+L18</f>
        <v>50297.872800000005</v>
      </c>
      <c r="M12" s="343">
        <f>+M16+M14+M18</f>
        <v>13508.88</v>
      </c>
      <c r="N12" s="343"/>
      <c r="O12" s="343">
        <f>+O16+O14+O18</f>
        <v>0</v>
      </c>
      <c r="P12" s="343">
        <f>+P16+P14+P18</f>
        <v>62830.88280000001</v>
      </c>
      <c r="Q12" s="343">
        <f>+Q16+Q14+Q18</f>
        <v>50129.872800000005</v>
      </c>
      <c r="R12" s="343">
        <f>+R16+R14+R18</f>
        <v>12701.01</v>
      </c>
      <c r="S12" s="343"/>
      <c r="T12" s="343">
        <f>+T16+T14+T18</f>
        <v>0</v>
      </c>
    </row>
    <row r="13" spans="1:20" ht="24.75" customHeight="1">
      <c r="A13" s="341" t="s">
        <v>450</v>
      </c>
      <c r="B13" s="549" t="s">
        <v>453</v>
      </c>
      <c r="C13" s="339">
        <f>120000000*76.33%/1000</f>
        <v>91596</v>
      </c>
      <c r="D13" s="549" t="s">
        <v>454</v>
      </c>
      <c r="E13" s="339">
        <f>18355000*76.23%/1000</f>
        <v>13992.016500000002</v>
      </c>
      <c r="F13" s="339">
        <f aca="true" t="shared" si="0" ref="F13:F18">G13+H13+I13+J13</f>
        <v>5630</v>
      </c>
      <c r="G13" s="339">
        <f>(4500000+1000000)/1000</f>
        <v>5500</v>
      </c>
      <c r="H13" s="339">
        <f>(100000+30000)/1000</f>
        <v>130</v>
      </c>
      <c r="I13" s="347"/>
      <c r="J13" s="339">
        <v>0</v>
      </c>
      <c r="K13" s="339">
        <f aca="true" t="shared" si="1" ref="K13:K18">L13+M13+N13+O13</f>
        <v>0</v>
      </c>
      <c r="L13" s="339">
        <v>0</v>
      </c>
      <c r="M13" s="339">
        <v>0</v>
      </c>
      <c r="N13" s="338"/>
      <c r="O13" s="339">
        <v>0</v>
      </c>
      <c r="P13" s="339">
        <f aca="true" t="shared" si="2" ref="P13:P18">Q13+R13+S13+T13</f>
        <v>0</v>
      </c>
      <c r="Q13" s="339">
        <v>0</v>
      </c>
      <c r="R13" s="339">
        <v>0</v>
      </c>
      <c r="S13" s="338"/>
      <c r="T13" s="339">
        <v>0</v>
      </c>
    </row>
    <row r="14" spans="1:20" ht="24.75" customHeight="1">
      <c r="A14" s="349" t="s">
        <v>514</v>
      </c>
      <c r="B14" s="553"/>
      <c r="C14" s="340">
        <f>C13*3.25</f>
        <v>297687</v>
      </c>
      <c r="D14" s="550"/>
      <c r="E14" s="340">
        <f>(E13*3.25*1.05)</f>
        <v>47747.75630625001</v>
      </c>
      <c r="F14" s="340">
        <f t="shared" si="0"/>
        <v>23882.46</v>
      </c>
      <c r="G14" s="340">
        <f>(G13*4.04*1.05)</f>
        <v>23331</v>
      </c>
      <c r="H14" s="340">
        <f>(H13*4.04*1.05)</f>
        <v>551.46</v>
      </c>
      <c r="I14" s="340"/>
      <c r="J14" s="340"/>
      <c r="K14" s="340">
        <f t="shared" si="1"/>
        <v>0</v>
      </c>
      <c r="L14" s="340">
        <f>(L13*3.23)</f>
        <v>0</v>
      </c>
      <c r="M14" s="340">
        <f>(M13*3.23)</f>
        <v>0</v>
      </c>
      <c r="N14" s="340"/>
      <c r="O14" s="340">
        <v>0</v>
      </c>
      <c r="P14" s="340">
        <f t="shared" si="2"/>
        <v>0</v>
      </c>
      <c r="Q14" s="340">
        <f>(Q13*3.21)</f>
        <v>0</v>
      </c>
      <c r="R14" s="340">
        <f>(R13*3.21)</f>
        <v>0</v>
      </c>
      <c r="S14" s="340"/>
      <c r="T14" s="340">
        <v>0</v>
      </c>
    </row>
    <row r="15" spans="1:20" ht="24.75" customHeight="1">
      <c r="A15" s="341" t="s">
        <v>450</v>
      </c>
      <c r="B15" s="549" t="s">
        <v>451</v>
      </c>
      <c r="C15" s="339">
        <f>26019662.86*91.7%/1000</f>
        <v>23860.03084262</v>
      </c>
      <c r="D15" s="549" t="s">
        <v>452</v>
      </c>
      <c r="E15" s="339">
        <f>15077181.86*91.7%/1000</f>
        <v>13825.775765620001</v>
      </c>
      <c r="F15" s="339">
        <f>G15+H15+I15+J15</f>
        <v>2180</v>
      </c>
      <c r="G15" s="339">
        <f>(1000000+1000000)/1000</f>
        <v>2000</v>
      </c>
      <c r="H15" s="339">
        <f>(90000+90000)/1000</f>
        <v>180</v>
      </c>
      <c r="I15" s="348"/>
      <c r="J15" s="339">
        <v>0</v>
      </c>
      <c r="K15" s="339">
        <f>L15+M15+N15+O15</f>
        <v>2160</v>
      </c>
      <c r="L15" s="339">
        <f>(1000000+1000000)/1000</f>
        <v>2000</v>
      </c>
      <c r="M15" s="339">
        <f>(80000+80000)/1000</f>
        <v>160</v>
      </c>
      <c r="N15" s="348"/>
      <c r="O15" s="339">
        <v>0</v>
      </c>
      <c r="P15" s="339">
        <f>Q15+R15+S15+T15</f>
        <v>2140</v>
      </c>
      <c r="Q15" s="339">
        <f>(1000000+1000000)/1000</f>
        <v>2000</v>
      </c>
      <c r="R15" s="339">
        <f>(70000+70000)/1000</f>
        <v>140</v>
      </c>
      <c r="S15" s="348"/>
      <c r="T15" s="339">
        <v>0</v>
      </c>
    </row>
    <row r="16" spans="1:20" ht="24.75" customHeight="1">
      <c r="A16" s="349" t="s">
        <v>514</v>
      </c>
      <c r="B16" s="553"/>
      <c r="C16" s="340">
        <f>C15*3.25</f>
        <v>77545.10023851499</v>
      </c>
      <c r="D16" s="550"/>
      <c r="E16" s="340">
        <f>(E15*3.25*1.05)</f>
        <v>47180.45980017826</v>
      </c>
      <c r="F16" s="340">
        <f>G16+H16+I16+J16</f>
        <v>9247.56</v>
      </c>
      <c r="G16" s="340">
        <f>(G15*4.04*1.05)</f>
        <v>8484</v>
      </c>
      <c r="H16" s="340">
        <f>(H15*4.04*1.05)</f>
        <v>763.5600000000001</v>
      </c>
      <c r="I16" s="340"/>
      <c r="J16" s="340">
        <f>J15*3.32*1.05</f>
        <v>0</v>
      </c>
      <c r="K16" s="340">
        <f>L16+M16+N16+O16</f>
        <v>8867.88</v>
      </c>
      <c r="L16" s="340">
        <f>(L15*3.91*1.05)</f>
        <v>8211</v>
      </c>
      <c r="M16" s="340">
        <f>(M15*3.91*1.05)</f>
        <v>656.88</v>
      </c>
      <c r="N16" s="340"/>
      <c r="O16" s="340">
        <f>O15*3.23*1.05</f>
        <v>0</v>
      </c>
      <c r="P16" s="340">
        <f>Q16+R16+S16+T16</f>
        <v>8606.01</v>
      </c>
      <c r="Q16" s="340">
        <f>(Q15*3.83*1.05)</f>
        <v>8043</v>
      </c>
      <c r="R16" s="340">
        <f>(R15*3.83*1.05)</f>
        <v>563.0100000000001</v>
      </c>
      <c r="S16" s="340"/>
      <c r="T16" s="340">
        <f>T15*3.21*1.05</f>
        <v>0</v>
      </c>
    </row>
    <row r="17" spans="1:20" ht="24.75" customHeight="1">
      <c r="A17" s="341" t="s">
        <v>455</v>
      </c>
      <c r="B17" s="549" t="s">
        <v>456</v>
      </c>
      <c r="C17" s="339">
        <f>24988493558/1000</f>
        <v>24988493.558</v>
      </c>
      <c r="D17" s="549" t="s">
        <v>457</v>
      </c>
      <c r="E17" s="339">
        <f>20272776000/1000</f>
        <v>20272776</v>
      </c>
      <c r="F17" s="339">
        <f t="shared" si="0"/>
        <v>1568904</v>
      </c>
      <c r="G17" s="339">
        <f>(589452000+589452000)/1000</f>
        <v>1178904</v>
      </c>
      <c r="H17" s="339">
        <f>(200000000+190000000)/1000</f>
        <v>390000</v>
      </c>
      <c r="I17" s="348"/>
      <c r="J17" s="339">
        <v>0</v>
      </c>
      <c r="K17" s="339">
        <f t="shared" si="1"/>
        <v>1538904</v>
      </c>
      <c r="L17" s="339">
        <f>(589452000+589452000)/1000</f>
        <v>1178904</v>
      </c>
      <c r="M17" s="339">
        <f>(180000000+180000000)/1000</f>
        <v>360000</v>
      </c>
      <c r="N17" s="348"/>
      <c r="O17" s="339">
        <v>0</v>
      </c>
      <c r="P17" s="339">
        <f t="shared" si="2"/>
        <v>1518904</v>
      </c>
      <c r="Q17" s="339">
        <f>(589452000+589452000)/1000</f>
        <v>1178904</v>
      </c>
      <c r="R17" s="339">
        <f>(170000000+170000000)/1000</f>
        <v>340000</v>
      </c>
      <c r="S17" s="348"/>
      <c r="T17" s="339">
        <v>0</v>
      </c>
    </row>
    <row r="18" spans="1:20" ht="24.75" customHeight="1">
      <c r="A18" s="349" t="s">
        <v>514</v>
      </c>
      <c r="B18" s="553"/>
      <c r="C18" s="340">
        <f>C17*3.2/100</f>
        <v>799631.7938560001</v>
      </c>
      <c r="D18" s="550"/>
      <c r="E18" s="340">
        <f>(E17/100*3.2*1.05)</f>
        <v>681165.2736000001</v>
      </c>
      <c r="F18" s="340">
        <f t="shared" si="0"/>
        <v>56009.872800000005</v>
      </c>
      <c r="G18" s="340">
        <f>(G17/100*3.4*1.05)</f>
        <v>42086.872800000005</v>
      </c>
      <c r="H18" s="340">
        <f>(H17/100*3.4*1.05)</f>
        <v>13923</v>
      </c>
      <c r="I18" s="340"/>
      <c r="J18" s="340">
        <f>(J17*0.03823*1.05)/1000</f>
        <v>0</v>
      </c>
      <c r="K18" s="340">
        <f t="shared" si="1"/>
        <v>54938.872800000005</v>
      </c>
      <c r="L18" s="340">
        <f>(L17/100*3.4*1.05)</f>
        <v>42086.872800000005</v>
      </c>
      <c r="M18" s="340">
        <f>(M17/100*3.4*1.05)</f>
        <v>12852</v>
      </c>
      <c r="N18" s="340"/>
      <c r="O18" s="340">
        <f>(O17*0.03823*1.05)/1000</f>
        <v>0</v>
      </c>
      <c r="P18" s="340">
        <f t="shared" si="2"/>
        <v>54224.872800000005</v>
      </c>
      <c r="Q18" s="340">
        <f>(Q17/100*3.4*1.05)</f>
        <v>42086.872800000005</v>
      </c>
      <c r="R18" s="340">
        <f>(R17/100*3.4*1.05)</f>
        <v>12138</v>
      </c>
      <c r="S18" s="340"/>
      <c r="T18" s="340">
        <f>(T17*0.03823*1.05)/1000</f>
        <v>0</v>
      </c>
    </row>
    <row r="19" spans="1:20" s="207" customFormat="1" ht="24.75" customHeight="1">
      <c r="A19" s="341" t="s">
        <v>447</v>
      </c>
      <c r="B19" s="549" t="s">
        <v>448</v>
      </c>
      <c r="C19" s="339">
        <f>108766500/1000</f>
        <v>108766.5</v>
      </c>
      <c r="D19" s="549" t="s">
        <v>449</v>
      </c>
      <c r="E19" s="339">
        <f>67979062.5/1000</f>
        <v>67979.0625</v>
      </c>
      <c r="F19" s="339">
        <f>G19+H19+I19+J19</f>
        <v>27632</v>
      </c>
      <c r="G19" s="339">
        <f>(13596000+13596000)/1000</f>
        <v>27192</v>
      </c>
      <c r="H19" s="339">
        <f>(260000+180000)/1000</f>
        <v>440</v>
      </c>
      <c r="I19" s="348"/>
      <c r="J19" s="339">
        <v>0</v>
      </c>
      <c r="K19" s="339">
        <f>L19+M19+N19+O19</f>
        <v>13696</v>
      </c>
      <c r="L19" s="339">
        <f>(13596000)/1000</f>
        <v>13596</v>
      </c>
      <c r="M19" s="339">
        <f>100000/1000</f>
        <v>100</v>
      </c>
      <c r="N19" s="348"/>
      <c r="O19" s="339">
        <v>0</v>
      </c>
      <c r="P19" s="339">
        <f>Q19+R19+S19+T19</f>
        <v>0</v>
      </c>
      <c r="Q19" s="339">
        <v>0</v>
      </c>
      <c r="R19" s="339">
        <v>0</v>
      </c>
      <c r="S19" s="348"/>
      <c r="T19" s="339">
        <v>0</v>
      </c>
    </row>
    <row r="20" spans="1:20" ht="24.75" customHeight="1">
      <c r="A20" s="349" t="s">
        <v>514</v>
      </c>
      <c r="B20" s="553"/>
      <c r="C20" s="340">
        <f>C19*4.45</f>
        <v>484010.92500000005</v>
      </c>
      <c r="D20" s="550"/>
      <c r="E20" s="340">
        <f>E19*4.45</f>
        <v>302506.828125</v>
      </c>
      <c r="F20" s="340">
        <f>G20+H20+I20+J20</f>
        <v>128820.38400000002</v>
      </c>
      <c r="G20" s="340">
        <f>(G19*4.44*1.05)</f>
        <v>126769.10400000002</v>
      </c>
      <c r="H20" s="340">
        <f>(H19*4.44*1.05)</f>
        <v>2051.28</v>
      </c>
      <c r="I20" s="340"/>
      <c r="J20" s="340">
        <f>(J19*4.45*1.05)</f>
        <v>0</v>
      </c>
      <c r="K20" s="340">
        <f>L20+M20+N20+O20</f>
        <v>63563.136</v>
      </c>
      <c r="L20" s="340">
        <f>(L19*4.42*1.05)</f>
        <v>63099.036</v>
      </c>
      <c r="M20" s="340">
        <f>(M19*4.42*1.05)</f>
        <v>464.1</v>
      </c>
      <c r="N20" s="340"/>
      <c r="O20" s="340">
        <f>(O19*4.42*1.05)</f>
        <v>0</v>
      </c>
      <c r="P20" s="340">
        <f>Q20+R20+S20+T20</f>
        <v>0</v>
      </c>
      <c r="Q20" s="340">
        <f>(Q19*4.4*1.05)</f>
        <v>0</v>
      </c>
      <c r="R20" s="340">
        <f>(R19*4.4*1.05)</f>
        <v>0</v>
      </c>
      <c r="S20" s="340"/>
      <c r="T20" s="340">
        <f>(T19*4.4*1.05)</f>
        <v>0</v>
      </c>
    </row>
    <row r="21" spans="1:20" ht="24.75" customHeight="1">
      <c r="A21" s="554" t="s">
        <v>637</v>
      </c>
      <c r="B21" s="554"/>
      <c r="C21" s="343">
        <f>C25+C23+C27</f>
        <v>197493.822859985</v>
      </c>
      <c r="D21" s="343"/>
      <c r="E21" s="343">
        <f>E25+E23+E27</f>
        <v>41084.881215771755</v>
      </c>
      <c r="F21" s="343">
        <f>F25+F23+F27</f>
        <v>24259.158000000003</v>
      </c>
      <c r="G21" s="343">
        <f>G23+G25+G27</f>
        <v>23646.378</v>
      </c>
      <c r="H21" s="343">
        <f>H23+H25+H27</f>
        <v>612.78</v>
      </c>
      <c r="I21" s="343"/>
      <c r="J21" s="343">
        <f>J23+J25+J27</f>
        <v>0</v>
      </c>
      <c r="K21" s="343">
        <f>K23+K25+K27</f>
        <v>8354.157000000001</v>
      </c>
      <c r="L21" s="343">
        <f>L23+L25+L27</f>
        <v>8102.829000000001</v>
      </c>
      <c r="M21" s="343">
        <f>M23+M25+M27</f>
        <v>251.32800000000003</v>
      </c>
      <c r="N21" s="343"/>
      <c r="O21" s="343">
        <f>O23+O25+O27</f>
        <v>0</v>
      </c>
      <c r="P21" s="343">
        <f>P23+P25+P27</f>
        <v>852.5580000000001</v>
      </c>
      <c r="Q21" s="343">
        <f>Q23+Q25+Q27</f>
        <v>804.3000000000001</v>
      </c>
      <c r="R21" s="343">
        <f>R23+R25+R27</f>
        <v>48.258</v>
      </c>
      <c r="S21" s="343"/>
      <c r="T21" s="343">
        <f>T23+T25+T27</f>
        <v>0</v>
      </c>
    </row>
    <row r="22" spans="1:20" ht="24.75" customHeight="1">
      <c r="A22" s="341" t="s">
        <v>450</v>
      </c>
      <c r="B22" s="549" t="s">
        <v>453</v>
      </c>
      <c r="C22" s="339">
        <f>120000000*23.67%/1000</f>
        <v>28404.000000000004</v>
      </c>
      <c r="D22" s="549" t="s">
        <v>454</v>
      </c>
      <c r="E22" s="339">
        <f>18355000*23.67%/1000</f>
        <v>4344.6285</v>
      </c>
      <c r="F22" s="339">
        <f aca="true" t="shared" si="3" ref="F22:F27">G22+H22+I22+J22</f>
        <v>3725</v>
      </c>
      <c r="G22" s="339">
        <f>(3000000+650000)/1000</f>
        <v>3650</v>
      </c>
      <c r="H22" s="339">
        <f>(50000+25000)/1000</f>
        <v>75</v>
      </c>
      <c r="I22" s="339"/>
      <c r="J22" s="339">
        <v>0</v>
      </c>
      <c r="K22" s="339">
        <f aca="true" t="shared" si="4" ref="K22:K27">L22+M22+N22+O22</f>
        <v>0</v>
      </c>
      <c r="L22" s="339">
        <v>0</v>
      </c>
      <c r="M22" s="339">
        <v>0</v>
      </c>
      <c r="N22" s="339"/>
      <c r="O22" s="339">
        <v>0</v>
      </c>
      <c r="P22" s="339">
        <f aca="true" t="shared" si="5" ref="P22:P27">Q22+R22+S22+T22</f>
        <v>0</v>
      </c>
      <c r="Q22" s="339">
        <v>0</v>
      </c>
      <c r="R22" s="339">
        <v>0</v>
      </c>
      <c r="S22" s="339"/>
      <c r="T22" s="339">
        <v>0</v>
      </c>
    </row>
    <row r="23" spans="1:20" ht="24.75" customHeight="1">
      <c r="A23" s="349" t="s">
        <v>514</v>
      </c>
      <c r="B23" s="553"/>
      <c r="C23" s="340">
        <f>C22*3.25</f>
        <v>92313.00000000001</v>
      </c>
      <c r="D23" s="550"/>
      <c r="E23" s="340">
        <f>(E22*3.25*1.05)</f>
        <v>14826.044756250001</v>
      </c>
      <c r="F23" s="340">
        <f t="shared" si="3"/>
        <v>15801.45</v>
      </c>
      <c r="G23" s="340">
        <f>(G22*4.04*1.05)</f>
        <v>15483.300000000001</v>
      </c>
      <c r="H23" s="340">
        <f>(H22*4.04*1.05)</f>
        <v>318.15000000000003</v>
      </c>
      <c r="I23" s="340"/>
      <c r="J23" s="340">
        <v>0</v>
      </c>
      <c r="K23" s="340">
        <f t="shared" si="4"/>
        <v>0</v>
      </c>
      <c r="L23" s="340">
        <f>(L22*3.23*1.05)</f>
        <v>0</v>
      </c>
      <c r="M23" s="340">
        <f>(M22*3.23*1.05)</f>
        <v>0</v>
      </c>
      <c r="N23" s="340"/>
      <c r="O23" s="340">
        <v>0</v>
      </c>
      <c r="P23" s="340">
        <f t="shared" si="5"/>
        <v>0</v>
      </c>
      <c r="Q23" s="340">
        <f>(Q22*3.21*1.05)</f>
        <v>0</v>
      </c>
      <c r="R23" s="340">
        <f>(R22*3.21*1.05)</f>
        <v>0</v>
      </c>
      <c r="S23" s="340"/>
      <c r="T23" s="340">
        <v>0</v>
      </c>
    </row>
    <row r="24" spans="1:20" ht="24.75" customHeight="1">
      <c r="A24" s="341" t="s">
        <v>450</v>
      </c>
      <c r="B24" s="549" t="s">
        <v>451</v>
      </c>
      <c r="C24" s="339">
        <f>26019662.86*8.3%/1000</f>
        <v>2159.63201738</v>
      </c>
      <c r="D24" s="549" t="s">
        <v>452</v>
      </c>
      <c r="E24" s="339">
        <f>15077181.86*8.3%/1000</f>
        <v>1251.40609438</v>
      </c>
      <c r="F24" s="339">
        <f t="shared" si="3"/>
        <v>220</v>
      </c>
      <c r="G24" s="339">
        <f>(100000+100000)/1000</f>
        <v>200</v>
      </c>
      <c r="H24" s="339">
        <f>(10000+10000)/1000</f>
        <v>20</v>
      </c>
      <c r="I24" s="348"/>
      <c r="J24" s="339">
        <v>0</v>
      </c>
      <c r="K24" s="339">
        <f t="shared" si="4"/>
        <v>216</v>
      </c>
      <c r="L24" s="339">
        <f>(100000+100000)/1000</f>
        <v>200</v>
      </c>
      <c r="M24" s="339">
        <f>(8000+8000)/1000</f>
        <v>16</v>
      </c>
      <c r="N24" s="348"/>
      <c r="O24" s="339">
        <v>0</v>
      </c>
      <c r="P24" s="339">
        <f t="shared" si="5"/>
        <v>212</v>
      </c>
      <c r="Q24" s="339">
        <f>(100000+100000)/1000</f>
        <v>200</v>
      </c>
      <c r="R24" s="339">
        <f>(6000+6000)/1000</f>
        <v>12</v>
      </c>
      <c r="S24" s="348"/>
      <c r="T24" s="339">
        <v>0</v>
      </c>
    </row>
    <row r="25" spans="1:20" s="207" customFormat="1" ht="24.75" customHeight="1">
      <c r="A25" s="349" t="s">
        <v>514</v>
      </c>
      <c r="B25" s="553"/>
      <c r="C25" s="340">
        <f>C24*3.25</f>
        <v>7018.804056485</v>
      </c>
      <c r="D25" s="550"/>
      <c r="E25" s="340">
        <f>(E24*3.25*1.05)</f>
        <v>4270.42329707175</v>
      </c>
      <c r="F25" s="340">
        <f t="shared" si="3"/>
        <v>933.2400000000001</v>
      </c>
      <c r="G25" s="340">
        <f>(G24*4.04*1.05)</f>
        <v>848.4000000000001</v>
      </c>
      <c r="H25" s="340">
        <f>(H24*4.04*1.05)</f>
        <v>84.84</v>
      </c>
      <c r="I25" s="340"/>
      <c r="J25" s="340">
        <v>0</v>
      </c>
      <c r="K25" s="340">
        <f t="shared" si="4"/>
        <v>886.788</v>
      </c>
      <c r="L25" s="340">
        <f>(L24*3.91*1.05)</f>
        <v>821.1</v>
      </c>
      <c r="M25" s="340">
        <f>(M24*3.91*1.05)</f>
        <v>65.688</v>
      </c>
      <c r="N25" s="340"/>
      <c r="O25" s="340">
        <v>0</v>
      </c>
      <c r="P25" s="340">
        <f t="shared" si="5"/>
        <v>852.5580000000001</v>
      </c>
      <c r="Q25" s="340">
        <f>(Q24*3.83*1.05)</f>
        <v>804.3000000000001</v>
      </c>
      <c r="R25" s="340">
        <f>(R24*3.83*1.05)</f>
        <v>48.258</v>
      </c>
      <c r="S25" s="340"/>
      <c r="T25" s="340">
        <v>0</v>
      </c>
    </row>
    <row r="26" spans="1:20" s="207" customFormat="1" ht="24.75" customHeight="1">
      <c r="A26" s="341" t="s">
        <v>447</v>
      </c>
      <c r="B26" s="549" t="s">
        <v>458</v>
      </c>
      <c r="C26" s="339">
        <f>22058880.63/1000</f>
        <v>22058.88063</v>
      </c>
      <c r="D26" s="549" t="s">
        <v>452</v>
      </c>
      <c r="E26" s="339">
        <f>4705920.42/1000</f>
        <v>4705.92042</v>
      </c>
      <c r="F26" s="339">
        <f t="shared" si="3"/>
        <v>1614</v>
      </c>
      <c r="G26" s="339">
        <f>(784500+784500)/1000</f>
        <v>1569</v>
      </c>
      <c r="H26" s="339">
        <f>(25000+20000)/1000</f>
        <v>45</v>
      </c>
      <c r="I26" s="348"/>
      <c r="J26" s="339">
        <v>0</v>
      </c>
      <c r="K26" s="339">
        <f t="shared" si="4"/>
        <v>1609</v>
      </c>
      <c r="L26" s="339">
        <f>(784500+784500)/1000</f>
        <v>1569</v>
      </c>
      <c r="M26" s="339">
        <f>(20000+20000)/1000</f>
        <v>40</v>
      </c>
      <c r="N26" s="348"/>
      <c r="O26" s="339">
        <v>0</v>
      </c>
      <c r="P26" s="339">
        <f t="shared" si="5"/>
        <v>0</v>
      </c>
      <c r="Q26" s="339">
        <v>0</v>
      </c>
      <c r="R26" s="339">
        <v>0</v>
      </c>
      <c r="S26" s="348"/>
      <c r="T26" s="339">
        <v>0</v>
      </c>
    </row>
    <row r="27" spans="1:20" s="207" customFormat="1" ht="24.75" customHeight="1">
      <c r="A27" s="349" t="s">
        <v>514</v>
      </c>
      <c r="B27" s="553"/>
      <c r="C27" s="340">
        <f>C26*4.45</f>
        <v>98162.0188035</v>
      </c>
      <c r="D27" s="550"/>
      <c r="E27" s="340">
        <f>(E26*4.45*1.05)</f>
        <v>21988.413162450004</v>
      </c>
      <c r="F27" s="340">
        <f t="shared" si="3"/>
        <v>7524.468000000001</v>
      </c>
      <c r="G27" s="340">
        <f>(G26*4.44*1.05)</f>
        <v>7314.678000000001</v>
      </c>
      <c r="H27" s="340">
        <f>(H26*4.44*1.05)</f>
        <v>209.79000000000002</v>
      </c>
      <c r="I27" s="340"/>
      <c r="J27" s="340">
        <f>(J26*4.35*1.05)/1000</f>
        <v>0</v>
      </c>
      <c r="K27" s="340">
        <f t="shared" si="4"/>
        <v>7467.369000000001</v>
      </c>
      <c r="L27" s="340">
        <f>(L26*4.42*1.05)</f>
        <v>7281.729</v>
      </c>
      <c r="M27" s="340">
        <f>(M26*4.42*1.05)</f>
        <v>185.64000000000001</v>
      </c>
      <c r="N27" s="340"/>
      <c r="O27" s="340">
        <f>(O26*4.35*1.05)/1000</f>
        <v>0</v>
      </c>
      <c r="P27" s="340">
        <f t="shared" si="5"/>
        <v>0</v>
      </c>
      <c r="Q27" s="340">
        <f>(Q26*4.4*1.05)</f>
        <v>0</v>
      </c>
      <c r="R27" s="340">
        <f>(R26*4.4*1.05)</f>
        <v>0</v>
      </c>
      <c r="S27" s="340"/>
      <c r="T27" s="340">
        <f>(T26*4.35*1.05)/1000</f>
        <v>0</v>
      </c>
    </row>
    <row r="28" spans="1:20" s="207" customFormat="1" ht="24.75" customHeight="1">
      <c r="A28" s="350" t="s">
        <v>514</v>
      </c>
      <c r="B28" s="351" t="s">
        <v>459</v>
      </c>
      <c r="C28" s="352"/>
      <c r="D28" s="352"/>
      <c r="E28" s="353">
        <f aca="true" t="shared" si="6" ref="E28:T28">+E21+E12</f>
        <v>817178.3709222001</v>
      </c>
      <c r="F28" s="353">
        <f t="shared" si="6"/>
        <v>113399.0508</v>
      </c>
      <c r="G28" s="353">
        <f t="shared" si="6"/>
        <v>97548.25080000001</v>
      </c>
      <c r="H28" s="353">
        <f t="shared" si="6"/>
        <v>15850.800000000001</v>
      </c>
      <c r="I28" s="353">
        <f t="shared" si="6"/>
        <v>0</v>
      </c>
      <c r="J28" s="352">
        <f t="shared" si="6"/>
        <v>0</v>
      </c>
      <c r="K28" s="353">
        <f t="shared" si="6"/>
        <v>72160.90980000001</v>
      </c>
      <c r="L28" s="353">
        <f t="shared" si="6"/>
        <v>58400.7018</v>
      </c>
      <c r="M28" s="353">
        <f t="shared" si="6"/>
        <v>13760.207999999999</v>
      </c>
      <c r="N28" s="353">
        <f t="shared" si="6"/>
        <v>0</v>
      </c>
      <c r="O28" s="352">
        <f t="shared" si="6"/>
        <v>0</v>
      </c>
      <c r="P28" s="353">
        <f t="shared" si="6"/>
        <v>63683.440800000004</v>
      </c>
      <c r="Q28" s="353">
        <f t="shared" si="6"/>
        <v>50934.17280000001</v>
      </c>
      <c r="R28" s="353">
        <f t="shared" si="6"/>
        <v>12749.268</v>
      </c>
      <c r="S28" s="353">
        <f t="shared" si="6"/>
        <v>0</v>
      </c>
      <c r="T28" s="352">
        <f t="shared" si="6"/>
        <v>0</v>
      </c>
    </row>
    <row r="29" spans="1:20" s="207" customFormat="1" ht="13.5" customHeight="1">
      <c r="A29" s="332"/>
      <c r="B29" s="333"/>
      <c r="C29" s="334"/>
      <c r="D29" s="333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</row>
    <row r="30" spans="1:20" s="207" customFormat="1" ht="15.75" customHeight="1">
      <c r="A30" s="205"/>
      <c r="B30" s="337" t="s">
        <v>515</v>
      </c>
      <c r="C30" s="205"/>
      <c r="D30" s="344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</row>
    <row r="31" spans="1:20" s="207" customFormat="1" ht="24.75" customHeight="1">
      <c r="A31" s="345" t="s">
        <v>428</v>
      </c>
      <c r="B31" s="551" t="s">
        <v>595</v>
      </c>
      <c r="C31" s="552"/>
      <c r="D31" s="552"/>
      <c r="E31" s="552"/>
      <c r="F31" s="552"/>
      <c r="G31" s="552"/>
      <c r="H31" s="552"/>
      <c r="I31" s="552"/>
      <c r="J31" s="552"/>
      <c r="K31" s="205"/>
      <c r="L31" s="334"/>
      <c r="M31" s="334"/>
      <c r="N31" s="334"/>
      <c r="O31" s="334"/>
      <c r="P31" s="334"/>
      <c r="Q31" s="334"/>
      <c r="R31" s="334"/>
      <c r="S31" s="334"/>
      <c r="T31" s="334"/>
    </row>
    <row r="32" spans="1:20" s="207" customFormat="1" ht="18.75" customHeight="1">
      <c r="A32" s="345"/>
      <c r="B32" s="205" t="s">
        <v>596</v>
      </c>
      <c r="C32" s="205"/>
      <c r="D32" s="205" t="s">
        <v>597</v>
      </c>
      <c r="E32" s="342"/>
      <c r="F32" s="205"/>
      <c r="G32" s="205" t="s">
        <v>598</v>
      </c>
      <c r="H32" s="205"/>
      <c r="I32" s="342"/>
      <c r="J32" s="205" t="s">
        <v>599</v>
      </c>
      <c r="K32" s="205"/>
      <c r="L32" s="334"/>
      <c r="M32" s="334"/>
      <c r="N32" s="334"/>
      <c r="O32" s="334"/>
      <c r="P32" s="334"/>
      <c r="Q32" s="334"/>
      <c r="R32" s="334"/>
      <c r="S32" s="334"/>
      <c r="T32" s="334"/>
    </row>
    <row r="33" spans="1:20" s="207" customFormat="1" ht="18.75" customHeight="1">
      <c r="A33" s="345"/>
      <c r="B33" s="205" t="s">
        <v>600</v>
      </c>
      <c r="C33" s="205"/>
      <c r="D33" s="205" t="s">
        <v>601</v>
      </c>
      <c r="E33" s="342"/>
      <c r="F33" s="205"/>
      <c r="G33" s="205" t="s">
        <v>602</v>
      </c>
      <c r="H33" s="205"/>
      <c r="I33" s="342"/>
      <c r="J33" s="205" t="s">
        <v>603</v>
      </c>
      <c r="K33" s="205"/>
      <c r="L33" s="334"/>
      <c r="M33" s="334"/>
      <c r="N33" s="334"/>
      <c r="O33" s="334"/>
      <c r="P33" s="334"/>
      <c r="Q33" s="334"/>
      <c r="R33" s="334"/>
      <c r="S33" s="334"/>
      <c r="T33" s="334"/>
    </row>
    <row r="34" spans="1:20" s="207" customFormat="1" ht="18" customHeight="1">
      <c r="A34" s="345"/>
      <c r="B34" s="205" t="s">
        <v>604</v>
      </c>
      <c r="C34" s="205"/>
      <c r="D34" s="344"/>
      <c r="E34" s="342"/>
      <c r="F34" s="205"/>
      <c r="G34" s="205"/>
      <c r="H34" s="205"/>
      <c r="I34" s="342"/>
      <c r="J34" s="205"/>
      <c r="K34" s="205"/>
      <c r="L34" s="334"/>
      <c r="M34" s="334"/>
      <c r="N34" s="334"/>
      <c r="O34" s="334"/>
      <c r="P34" s="334"/>
      <c r="Q34" s="334"/>
      <c r="R34" s="334"/>
      <c r="S34" s="334"/>
      <c r="T34" s="334"/>
    </row>
    <row r="35" spans="1:20" s="207" customFormat="1" ht="15.75" customHeight="1">
      <c r="A35" s="345"/>
      <c r="B35" s="205" t="s">
        <v>605</v>
      </c>
      <c r="C35" s="205"/>
      <c r="D35" s="344"/>
      <c r="E35" s="342"/>
      <c r="F35" s="205"/>
      <c r="G35" s="205"/>
      <c r="H35" s="205"/>
      <c r="I35" s="342"/>
      <c r="J35" s="205"/>
      <c r="K35" s="205"/>
      <c r="L35" s="334"/>
      <c r="M35" s="334"/>
      <c r="N35" s="334"/>
      <c r="O35" s="334"/>
      <c r="P35" s="334"/>
      <c r="Q35" s="334"/>
      <c r="R35" s="334"/>
      <c r="S35" s="334"/>
      <c r="T35" s="334"/>
    </row>
    <row r="36" spans="1:20" ht="12.75">
      <c r="A36" s="345" t="s">
        <v>606</v>
      </c>
      <c r="B36" s="205" t="s">
        <v>607</v>
      </c>
      <c r="D36" s="344"/>
      <c r="E36" s="342"/>
      <c r="I36" s="342"/>
      <c r="L36" s="258"/>
      <c r="M36" s="258"/>
      <c r="N36" s="258"/>
      <c r="O36" s="258"/>
      <c r="P36" s="258"/>
      <c r="Q36" s="258"/>
      <c r="R36" s="258"/>
      <c r="S36" s="258"/>
      <c r="T36" s="258"/>
    </row>
    <row r="38" spans="1:20" ht="18" customHeight="1">
      <c r="A38" s="525" t="s">
        <v>313</v>
      </c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</row>
    <row r="39" spans="1:20" ht="18" customHeight="1">
      <c r="A39" s="465" t="s">
        <v>562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</row>
    <row r="41" spans="2:18" ht="15.75" customHeight="1">
      <c r="B41" s="495" t="s">
        <v>314</v>
      </c>
      <c r="C41" s="495"/>
      <c r="D41" s="495"/>
      <c r="P41" s="495" t="s">
        <v>563</v>
      </c>
      <c r="Q41" s="495"/>
      <c r="R41" s="495"/>
    </row>
    <row r="42" spans="2:18" ht="15.75">
      <c r="B42" s="495" t="s">
        <v>492</v>
      </c>
      <c r="C42" s="495"/>
      <c r="D42" s="495"/>
      <c r="P42" s="496" t="s">
        <v>635</v>
      </c>
      <c r="Q42" s="496"/>
      <c r="R42" s="496"/>
    </row>
    <row r="45" spans="2:18" ht="12.75">
      <c r="B45" s="497" t="s">
        <v>316</v>
      </c>
      <c r="C45" s="497"/>
      <c r="P45" s="497" t="s">
        <v>564</v>
      </c>
      <c r="Q45" s="497"/>
      <c r="R45" s="497"/>
    </row>
    <row r="46" spans="2:18" ht="12.75">
      <c r="B46" s="497" t="s">
        <v>315</v>
      </c>
      <c r="C46" s="497"/>
      <c r="P46" s="499" t="s">
        <v>576</v>
      </c>
      <c r="Q46" s="499"/>
      <c r="R46" s="499"/>
    </row>
  </sheetData>
  <sheetProtection/>
  <mergeCells count="36">
    <mergeCell ref="B26:B27"/>
    <mergeCell ref="P9:T9"/>
    <mergeCell ref="B15:B16"/>
    <mergeCell ref="D15:D16"/>
    <mergeCell ref="B17:B18"/>
    <mergeCell ref="D17:D18"/>
    <mergeCell ref="A12:B12"/>
    <mergeCell ref="B13:B14"/>
    <mergeCell ref="D13:D14"/>
    <mergeCell ref="A11:B11"/>
    <mergeCell ref="B6:T6"/>
    <mergeCell ref="A9:B10"/>
    <mergeCell ref="C9:C10"/>
    <mergeCell ref="D9:D10"/>
    <mergeCell ref="E9:E10"/>
    <mergeCell ref="F9:J9"/>
    <mergeCell ref="K9:O9"/>
    <mergeCell ref="B45:C45"/>
    <mergeCell ref="B46:C46"/>
    <mergeCell ref="P45:R45"/>
    <mergeCell ref="P46:R46"/>
    <mergeCell ref="P41:R41"/>
    <mergeCell ref="A38:T38"/>
    <mergeCell ref="A39:T39"/>
    <mergeCell ref="B42:D42"/>
    <mergeCell ref="P42:R42"/>
    <mergeCell ref="D26:D27"/>
    <mergeCell ref="B31:J31"/>
    <mergeCell ref="B41:D41"/>
    <mergeCell ref="B19:B20"/>
    <mergeCell ref="D19:D20"/>
    <mergeCell ref="A21:B21"/>
    <mergeCell ref="B22:B23"/>
    <mergeCell ref="D22:D23"/>
    <mergeCell ref="B24:B25"/>
    <mergeCell ref="D24:D25"/>
  </mergeCells>
  <printOptions/>
  <pageMargins left="0.1968503937007874" right="0.17" top="0.2362204724409449" bottom="0.1968503937007874" header="0.1968503937007874" footer="0.196850393700787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V65"/>
  <sheetViews>
    <sheetView zoomScalePageLayoutView="0" workbookViewId="0" topLeftCell="A4">
      <selection activeCell="D66" sqref="D66"/>
    </sheetView>
  </sheetViews>
  <sheetFormatPr defaultColWidth="9.140625" defaultRowHeight="12.75"/>
  <cols>
    <col min="1" max="1" width="9.140625" style="139" customWidth="1"/>
    <col min="2" max="2" width="4.00390625" style="139" customWidth="1"/>
    <col min="3" max="3" width="3.00390625" style="139" customWidth="1"/>
    <col min="4" max="4" width="55.140625" style="139" customWidth="1"/>
    <col min="5" max="5" width="17.8515625" style="139" customWidth="1"/>
    <col min="6" max="6" width="12.421875" style="139" customWidth="1"/>
    <col min="7" max="7" width="17.7109375" style="139" customWidth="1"/>
    <col min="8" max="8" width="16.57421875" style="139" customWidth="1"/>
    <col min="9" max="9" width="16.140625" style="139" customWidth="1"/>
    <col min="10" max="10" width="13.57421875" style="139" customWidth="1"/>
    <col min="11" max="11" width="13.7109375" style="139" customWidth="1"/>
    <col min="12" max="12" width="11.57421875" style="139" customWidth="1"/>
    <col min="13" max="13" width="14.28125" style="139" customWidth="1"/>
    <col min="14" max="16384" width="9.140625" style="139" customWidth="1"/>
  </cols>
  <sheetData>
    <row r="1" spans="2:6" ht="14.25">
      <c r="B1" s="1" t="s">
        <v>0</v>
      </c>
      <c r="C1" s="2"/>
      <c r="D1" s="3"/>
      <c r="E1" s="2"/>
      <c r="F1" s="118"/>
    </row>
    <row r="2" spans="2:6" ht="16.5" customHeight="1">
      <c r="B2" s="481" t="s">
        <v>1</v>
      </c>
      <c r="C2" s="481"/>
      <c r="D2" s="481"/>
      <c r="E2" s="481"/>
      <c r="F2" s="481"/>
    </row>
    <row r="3" spans="2:13" ht="16.5" customHeight="1">
      <c r="B3" s="206" t="s">
        <v>2</v>
      </c>
      <c r="C3" s="2"/>
      <c r="D3" s="3"/>
      <c r="E3" s="2"/>
      <c r="F3" s="118"/>
      <c r="M3" s="139" t="s">
        <v>460</v>
      </c>
    </row>
    <row r="4" spans="2:6" ht="16.5" customHeight="1">
      <c r="B4" s="206" t="s">
        <v>3</v>
      </c>
      <c r="C4" s="2"/>
      <c r="D4" s="3"/>
      <c r="E4" s="2"/>
      <c r="F4" s="118"/>
    </row>
    <row r="5" spans="3:13" ht="21.75" customHeight="1">
      <c r="C5" s="496" t="s">
        <v>461</v>
      </c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7:8" ht="12.75">
      <c r="G6" s="196"/>
      <c r="H6" s="196"/>
    </row>
    <row r="7" ht="12.75">
      <c r="M7" s="208" t="s">
        <v>250</v>
      </c>
    </row>
    <row r="8" spans="2:13" ht="13.5" customHeight="1">
      <c r="B8" s="566" t="s">
        <v>319</v>
      </c>
      <c r="C8" s="566" t="s">
        <v>462</v>
      </c>
      <c r="D8" s="566"/>
      <c r="E8" s="566" t="s">
        <v>463</v>
      </c>
      <c r="F8" s="566" t="s">
        <v>608</v>
      </c>
      <c r="G8" s="566"/>
      <c r="H8" s="566" t="s">
        <v>609</v>
      </c>
      <c r="I8" s="566"/>
      <c r="J8" s="567" t="s">
        <v>513</v>
      </c>
      <c r="K8" s="567"/>
      <c r="L8" s="567" t="s">
        <v>610</v>
      </c>
      <c r="M8" s="567"/>
    </row>
    <row r="9" spans="2:13" ht="18.75" customHeight="1">
      <c r="B9" s="566"/>
      <c r="C9" s="566"/>
      <c r="D9" s="566"/>
      <c r="E9" s="566"/>
      <c r="F9" s="566" t="s">
        <v>464</v>
      </c>
      <c r="G9" s="566"/>
      <c r="H9" s="564" t="s">
        <v>465</v>
      </c>
      <c r="I9" s="564"/>
      <c r="J9" s="564" t="s">
        <v>466</v>
      </c>
      <c r="K9" s="564"/>
      <c r="L9" s="564" t="s">
        <v>467</v>
      </c>
      <c r="M9" s="564"/>
    </row>
    <row r="10" spans="2:13" ht="26.25" customHeight="1">
      <c r="B10" s="566"/>
      <c r="C10" s="566"/>
      <c r="D10" s="566"/>
      <c r="E10" s="566"/>
      <c r="F10" s="210" t="s">
        <v>468</v>
      </c>
      <c r="G10" s="210" t="s">
        <v>469</v>
      </c>
      <c r="H10" s="210" t="s">
        <v>470</v>
      </c>
      <c r="I10" s="210" t="s">
        <v>471</v>
      </c>
      <c r="J10" s="210" t="s">
        <v>470</v>
      </c>
      <c r="K10" s="210" t="s">
        <v>471</v>
      </c>
      <c r="L10" s="210" t="s">
        <v>470</v>
      </c>
      <c r="M10" s="210" t="s">
        <v>471</v>
      </c>
    </row>
    <row r="11" spans="2:13" s="212" customFormat="1" ht="11.25">
      <c r="B11" s="211">
        <v>0</v>
      </c>
      <c r="C11" s="565">
        <v>1</v>
      </c>
      <c r="D11" s="565"/>
      <c r="E11" s="211">
        <v>2</v>
      </c>
      <c r="F11" s="211">
        <v>3</v>
      </c>
      <c r="G11" s="211">
        <v>4</v>
      </c>
      <c r="H11" s="211">
        <v>5</v>
      </c>
      <c r="I11" s="211">
        <v>6</v>
      </c>
      <c r="J11" s="211">
        <v>7</v>
      </c>
      <c r="K11" s="211">
        <v>8</v>
      </c>
      <c r="L11" s="211">
        <v>9</v>
      </c>
      <c r="M11" s="211">
        <v>10</v>
      </c>
    </row>
    <row r="12" spans="2:13" s="217" customFormat="1" ht="27" customHeight="1">
      <c r="B12" s="213" t="s">
        <v>472</v>
      </c>
      <c r="C12" s="562" t="s">
        <v>461</v>
      </c>
      <c r="D12" s="562"/>
      <c r="E12" s="214"/>
      <c r="F12" s="215"/>
      <c r="G12" s="215"/>
      <c r="H12" s="215"/>
      <c r="I12" s="216"/>
      <c r="J12" s="214"/>
      <c r="K12" s="214"/>
      <c r="L12" s="214"/>
      <c r="M12" s="214"/>
    </row>
    <row r="13" spans="2:13" s="217" customFormat="1" ht="29.25" customHeight="1">
      <c r="B13" s="209">
        <v>1</v>
      </c>
      <c r="C13" s="494" t="s">
        <v>529</v>
      </c>
      <c r="D13" s="494"/>
      <c r="E13" s="214"/>
      <c r="F13" s="218" t="s">
        <v>307</v>
      </c>
      <c r="G13" s="218" t="s">
        <v>307</v>
      </c>
      <c r="H13" s="355">
        <v>398164</v>
      </c>
      <c r="I13" s="356"/>
      <c r="J13" s="356"/>
      <c r="K13" s="357"/>
      <c r="L13" s="357"/>
      <c r="M13" s="357"/>
    </row>
    <row r="14" spans="2:13" ht="19.5" customHeight="1">
      <c r="B14" s="209">
        <v>2</v>
      </c>
      <c r="C14" s="494" t="s">
        <v>616</v>
      </c>
      <c r="D14" s="494"/>
      <c r="E14" s="219"/>
      <c r="F14" s="218" t="s">
        <v>307</v>
      </c>
      <c r="G14" s="218" t="s">
        <v>307</v>
      </c>
      <c r="H14" s="358">
        <v>43751</v>
      </c>
      <c r="I14" s="358"/>
      <c r="J14" s="358"/>
      <c r="K14" s="358"/>
      <c r="L14" s="358"/>
      <c r="M14" s="358"/>
    </row>
    <row r="15" spans="2:13" ht="18.75" customHeight="1">
      <c r="B15" s="209">
        <v>3</v>
      </c>
      <c r="C15" s="494" t="s">
        <v>525</v>
      </c>
      <c r="D15" s="494"/>
      <c r="E15" s="219"/>
      <c r="F15" s="218" t="s">
        <v>307</v>
      </c>
      <c r="G15" s="218" t="s">
        <v>307</v>
      </c>
      <c r="H15" s="358"/>
      <c r="I15" s="358">
        <f>-'Anexa 6'!D19</f>
        <v>-41535</v>
      </c>
      <c r="J15" s="358"/>
      <c r="K15" s="358">
        <v>-3000</v>
      </c>
      <c r="L15" s="358"/>
      <c r="M15" s="358">
        <v>-3000</v>
      </c>
    </row>
    <row r="16" spans="2:13" ht="17.25" customHeight="1">
      <c r="B16" s="209">
        <v>4</v>
      </c>
      <c r="C16" s="558" t="s">
        <v>554</v>
      </c>
      <c r="D16" s="559"/>
      <c r="E16" s="219"/>
      <c r="F16" s="218"/>
      <c r="G16" s="218"/>
      <c r="H16" s="358">
        <v>46415</v>
      </c>
      <c r="I16" s="358"/>
      <c r="J16" s="358"/>
      <c r="K16" s="358"/>
      <c r="L16" s="358"/>
      <c r="M16" s="358"/>
    </row>
    <row r="17" spans="2:13" ht="19.5" customHeight="1">
      <c r="B17" s="209">
        <v>5</v>
      </c>
      <c r="C17" s="494" t="s">
        <v>556</v>
      </c>
      <c r="D17" s="494"/>
      <c r="E17" s="219"/>
      <c r="F17" s="218"/>
      <c r="G17" s="218"/>
      <c r="H17" s="358">
        <v>80572</v>
      </c>
      <c r="I17" s="358"/>
      <c r="J17" s="358"/>
      <c r="K17" s="358"/>
      <c r="L17" s="358"/>
      <c r="M17" s="358"/>
    </row>
    <row r="18" spans="2:13" ht="18.75" customHeight="1">
      <c r="B18" s="209">
        <v>6</v>
      </c>
      <c r="C18" s="494" t="s">
        <v>618</v>
      </c>
      <c r="D18" s="494"/>
      <c r="E18" s="219"/>
      <c r="F18" s="218"/>
      <c r="G18" s="218"/>
      <c r="H18" s="358">
        <v>6724</v>
      </c>
      <c r="I18" s="358"/>
      <c r="J18" s="358"/>
      <c r="K18" s="358"/>
      <c r="L18" s="358"/>
      <c r="M18" s="358"/>
    </row>
    <row r="19" spans="2:13" ht="15" customHeight="1">
      <c r="B19" s="209"/>
      <c r="C19" s="561" t="s">
        <v>473</v>
      </c>
      <c r="D19" s="561"/>
      <c r="E19" s="199"/>
      <c r="F19" s="218" t="s">
        <v>307</v>
      </c>
      <c r="G19" s="218" t="s">
        <v>307</v>
      </c>
      <c r="H19" s="359">
        <f>SUM(H13:H18)</f>
        <v>575626</v>
      </c>
      <c r="I19" s="359">
        <f>SUM(I13:I15)</f>
        <v>-41535</v>
      </c>
      <c r="J19" s="359">
        <f>SUM(J13:J15)</f>
        <v>0</v>
      </c>
      <c r="K19" s="359">
        <f>SUM(K13:K15)</f>
        <v>-3000</v>
      </c>
      <c r="L19" s="359">
        <f>SUM(L13:L15)</f>
        <v>0</v>
      </c>
      <c r="M19" s="359">
        <f>SUM(M13:M15)</f>
        <v>-3000</v>
      </c>
    </row>
    <row r="20" spans="2:13" ht="21.75" customHeight="1">
      <c r="B20" s="213" t="s">
        <v>474</v>
      </c>
      <c r="C20" s="562" t="s">
        <v>475</v>
      </c>
      <c r="D20" s="562"/>
      <c r="E20" s="220"/>
      <c r="F20" s="220"/>
      <c r="G20" s="220"/>
      <c r="H20" s="358"/>
      <c r="I20" s="359">
        <v>0</v>
      </c>
      <c r="J20" s="358"/>
      <c r="K20" s="358"/>
      <c r="L20" s="358"/>
      <c r="M20" s="358"/>
    </row>
    <row r="21" spans="2:13" ht="18" customHeight="1">
      <c r="B21" s="297">
        <v>1</v>
      </c>
      <c r="C21" s="494" t="s">
        <v>477</v>
      </c>
      <c r="D21" s="494"/>
      <c r="E21" s="220"/>
      <c r="F21" s="220"/>
      <c r="G21" s="220"/>
      <c r="H21" s="358">
        <v>27086</v>
      </c>
      <c r="I21" s="359"/>
      <c r="J21" s="358"/>
      <c r="K21" s="358"/>
      <c r="L21" s="358"/>
      <c r="M21" s="358"/>
    </row>
    <row r="22" spans="2:13" ht="21" customHeight="1">
      <c r="B22" s="297">
        <v>2</v>
      </c>
      <c r="C22" s="558" t="s">
        <v>553</v>
      </c>
      <c r="D22" s="559"/>
      <c r="E22" s="220"/>
      <c r="F22" s="220"/>
      <c r="G22" s="220"/>
      <c r="H22" s="358">
        <v>4346</v>
      </c>
      <c r="I22" s="359"/>
      <c r="J22" s="358"/>
      <c r="K22" s="358"/>
      <c r="L22" s="358"/>
      <c r="M22" s="358"/>
    </row>
    <row r="23" spans="2:13" ht="21" customHeight="1">
      <c r="B23" s="297">
        <v>3</v>
      </c>
      <c r="C23" s="494" t="s">
        <v>615</v>
      </c>
      <c r="D23" s="494"/>
      <c r="E23" s="220"/>
      <c r="F23" s="220"/>
      <c r="G23" s="220"/>
      <c r="H23" s="358">
        <v>3556</v>
      </c>
      <c r="I23" s="359"/>
      <c r="J23" s="358"/>
      <c r="K23" s="358"/>
      <c r="L23" s="358"/>
      <c r="M23" s="358"/>
    </row>
    <row r="24" spans="2:13" ht="21" customHeight="1">
      <c r="B24" s="297">
        <v>4</v>
      </c>
      <c r="C24" s="494" t="s">
        <v>617</v>
      </c>
      <c r="D24" s="494"/>
      <c r="E24" s="220"/>
      <c r="F24" s="220"/>
      <c r="G24" s="220"/>
      <c r="H24" s="358">
        <v>15690</v>
      </c>
      <c r="I24" s="359"/>
      <c r="J24" s="358"/>
      <c r="K24" s="358"/>
      <c r="L24" s="358"/>
      <c r="M24" s="358"/>
    </row>
    <row r="25" spans="2:13" ht="21" customHeight="1">
      <c r="B25" s="297">
        <v>4</v>
      </c>
      <c r="C25" s="494" t="s">
        <v>476</v>
      </c>
      <c r="D25" s="494"/>
      <c r="E25" s="220"/>
      <c r="F25" s="218" t="s">
        <v>307</v>
      </c>
      <c r="G25" s="218" t="s">
        <v>307</v>
      </c>
      <c r="H25" s="358">
        <v>104469</v>
      </c>
      <c r="I25" s="358"/>
      <c r="J25" s="358"/>
      <c r="K25" s="358"/>
      <c r="L25" s="358"/>
      <c r="M25" s="358"/>
    </row>
    <row r="26" spans="2:13" ht="24.75" customHeight="1">
      <c r="B26" s="297">
        <v>5</v>
      </c>
      <c r="C26" s="494" t="s">
        <v>526</v>
      </c>
      <c r="D26" s="494"/>
      <c r="E26" s="219"/>
      <c r="F26" s="218" t="s">
        <v>307</v>
      </c>
      <c r="G26" s="218" t="s">
        <v>307</v>
      </c>
      <c r="H26" s="358">
        <f>125865+1190+29505+83092-44333-4834+513</f>
        <v>190998</v>
      </c>
      <c r="I26" s="358"/>
      <c r="J26" s="358"/>
      <c r="K26" s="358"/>
      <c r="L26" s="358"/>
      <c r="M26" s="358"/>
    </row>
    <row r="27" spans="2:13" ht="19.5" customHeight="1">
      <c r="B27" s="297">
        <v>6</v>
      </c>
      <c r="C27" s="494" t="s">
        <v>527</v>
      </c>
      <c r="D27" s="494"/>
      <c r="E27" s="219"/>
      <c r="F27" s="218" t="s">
        <v>307</v>
      </c>
      <c r="G27" s="218" t="s">
        <v>307</v>
      </c>
      <c r="H27" s="358">
        <v>36697</v>
      </c>
      <c r="I27" s="358"/>
      <c r="J27" s="358"/>
      <c r="K27" s="358"/>
      <c r="L27" s="358"/>
      <c r="M27" s="358"/>
    </row>
    <row r="28" spans="2:13" ht="22.5" customHeight="1">
      <c r="B28" s="297">
        <v>7</v>
      </c>
      <c r="C28" s="494" t="s">
        <v>484</v>
      </c>
      <c r="D28" s="494"/>
      <c r="E28" s="219"/>
      <c r="F28" s="218" t="s">
        <v>307</v>
      </c>
      <c r="G28" s="218" t="s">
        <v>307</v>
      </c>
      <c r="H28" s="358">
        <v>149965</v>
      </c>
      <c r="I28" s="358"/>
      <c r="J28" s="358"/>
      <c r="K28" s="358"/>
      <c r="L28" s="358"/>
      <c r="M28" s="358"/>
    </row>
    <row r="29" spans="2:13" ht="22.5" customHeight="1">
      <c r="B29" s="297">
        <v>8</v>
      </c>
      <c r="C29" s="494" t="s">
        <v>528</v>
      </c>
      <c r="D29" s="494"/>
      <c r="E29" s="219"/>
      <c r="F29" s="218" t="s">
        <v>307</v>
      </c>
      <c r="G29" s="218" t="s">
        <v>307</v>
      </c>
      <c r="H29" s="358">
        <v>4436</v>
      </c>
      <c r="I29" s="358"/>
      <c r="J29" s="358"/>
      <c r="K29" s="358"/>
      <c r="L29" s="358"/>
      <c r="M29" s="358"/>
    </row>
    <row r="30" spans="2:13" ht="22.5" customHeight="1">
      <c r="B30" s="297">
        <v>9</v>
      </c>
      <c r="C30" s="494" t="s">
        <v>478</v>
      </c>
      <c r="D30" s="494"/>
      <c r="E30" s="219"/>
      <c r="F30" s="218" t="s">
        <v>307</v>
      </c>
      <c r="G30" s="218" t="s">
        <v>307</v>
      </c>
      <c r="H30" s="358">
        <v>407</v>
      </c>
      <c r="I30" s="358"/>
      <c r="J30" s="358"/>
      <c r="K30" s="358"/>
      <c r="L30" s="358"/>
      <c r="M30" s="358"/>
    </row>
    <row r="31" spans="2:13" ht="22.5" customHeight="1">
      <c r="B31" s="297">
        <v>10</v>
      </c>
      <c r="C31" s="494" t="s">
        <v>479</v>
      </c>
      <c r="D31" s="494"/>
      <c r="E31" s="219"/>
      <c r="F31" s="218" t="s">
        <v>307</v>
      </c>
      <c r="G31" s="218" t="s">
        <v>307</v>
      </c>
      <c r="H31" s="358">
        <v>1158</v>
      </c>
      <c r="I31" s="358"/>
      <c r="J31" s="358"/>
      <c r="K31" s="358"/>
      <c r="L31" s="358"/>
      <c r="M31" s="358"/>
    </row>
    <row r="32" spans="2:13" ht="21" customHeight="1">
      <c r="B32" s="297">
        <v>11</v>
      </c>
      <c r="C32" s="494" t="s">
        <v>557</v>
      </c>
      <c r="D32" s="494"/>
      <c r="E32" s="219"/>
      <c r="F32" s="218" t="s">
        <v>307</v>
      </c>
      <c r="G32" s="218" t="s">
        <v>307</v>
      </c>
      <c r="H32" s="358">
        <v>225</v>
      </c>
      <c r="I32" s="358"/>
      <c r="J32" s="358"/>
      <c r="K32" s="358"/>
      <c r="L32" s="358"/>
      <c r="M32" s="358"/>
    </row>
    <row r="33" spans="2:13" ht="21.75" customHeight="1">
      <c r="B33" s="297">
        <v>12</v>
      </c>
      <c r="C33" s="494" t="s">
        <v>558</v>
      </c>
      <c r="D33" s="494"/>
      <c r="E33" s="219"/>
      <c r="F33" s="218"/>
      <c r="G33" s="218"/>
      <c r="H33" s="358">
        <v>94336</v>
      </c>
      <c r="I33" s="358"/>
      <c r="J33" s="358"/>
      <c r="K33" s="358"/>
      <c r="L33" s="358"/>
      <c r="M33" s="358"/>
    </row>
    <row r="34" spans="2:13" ht="22.5" customHeight="1">
      <c r="B34" s="297">
        <v>13</v>
      </c>
      <c r="C34" s="494" t="s">
        <v>530</v>
      </c>
      <c r="D34" s="494"/>
      <c r="E34" s="219"/>
      <c r="F34" s="218"/>
      <c r="G34" s="218"/>
      <c r="H34" s="358">
        <v>2319</v>
      </c>
      <c r="I34" s="358"/>
      <c r="J34" s="358"/>
      <c r="K34" s="358"/>
      <c r="L34" s="358"/>
      <c r="M34" s="358"/>
    </row>
    <row r="35" spans="2:13" ht="22.5" customHeight="1">
      <c r="B35" s="297">
        <v>14</v>
      </c>
      <c r="C35" s="494" t="s">
        <v>531</v>
      </c>
      <c r="D35" s="494"/>
      <c r="E35" s="219"/>
      <c r="F35" s="218"/>
      <c r="G35" s="218"/>
      <c r="H35" s="358">
        <v>217</v>
      </c>
      <c r="I35" s="358"/>
      <c r="J35" s="358"/>
      <c r="K35" s="358"/>
      <c r="L35" s="358"/>
      <c r="M35" s="358"/>
    </row>
    <row r="36" spans="2:13" ht="22.5" customHeight="1">
      <c r="B36" s="297">
        <v>15</v>
      </c>
      <c r="C36" s="494" t="s">
        <v>532</v>
      </c>
      <c r="D36" s="494"/>
      <c r="E36" s="219"/>
      <c r="F36" s="218"/>
      <c r="G36" s="218"/>
      <c r="H36" s="358">
        <v>5152</v>
      </c>
      <c r="I36" s="358"/>
      <c r="J36" s="358"/>
      <c r="K36" s="358"/>
      <c r="L36" s="358"/>
      <c r="M36" s="358"/>
    </row>
    <row r="37" spans="2:13" ht="22.5" customHeight="1">
      <c r="B37" s="297">
        <v>16</v>
      </c>
      <c r="C37" s="494" t="s">
        <v>541</v>
      </c>
      <c r="D37" s="494"/>
      <c r="E37" s="219"/>
      <c r="F37" s="218"/>
      <c r="G37" s="218"/>
      <c r="H37" s="358">
        <v>500</v>
      </c>
      <c r="I37" s="358"/>
      <c r="J37" s="358"/>
      <c r="K37" s="358"/>
      <c r="L37" s="358"/>
      <c r="M37" s="358"/>
    </row>
    <row r="38" spans="2:13" ht="22.5" customHeight="1">
      <c r="B38" s="297">
        <v>17</v>
      </c>
      <c r="C38" s="494" t="s">
        <v>555</v>
      </c>
      <c r="D38" s="494"/>
      <c r="E38" s="219"/>
      <c r="F38" s="218"/>
      <c r="G38" s="218"/>
      <c r="H38" s="358">
        <v>2759</v>
      </c>
      <c r="I38" s="358"/>
      <c r="J38" s="358"/>
      <c r="K38" s="358"/>
      <c r="L38" s="358"/>
      <c r="M38" s="358"/>
    </row>
    <row r="39" spans="2:13" ht="22.5" customHeight="1">
      <c r="B39" s="297">
        <v>18</v>
      </c>
      <c r="C39" s="494" t="s">
        <v>542</v>
      </c>
      <c r="D39" s="494"/>
      <c r="E39" s="219"/>
      <c r="F39" s="218"/>
      <c r="G39" s="218"/>
      <c r="H39" s="358">
        <v>584</v>
      </c>
      <c r="I39" s="358"/>
      <c r="J39" s="358"/>
      <c r="K39" s="358"/>
      <c r="L39" s="358"/>
      <c r="M39" s="358"/>
    </row>
    <row r="40" spans="2:13" ht="18.75" customHeight="1">
      <c r="B40" s="297">
        <v>19</v>
      </c>
      <c r="C40" s="558" t="s">
        <v>559</v>
      </c>
      <c r="D40" s="559"/>
      <c r="E40" s="219"/>
      <c r="F40" s="218"/>
      <c r="G40" s="218"/>
      <c r="H40" s="358">
        <v>40726</v>
      </c>
      <c r="I40" s="358"/>
      <c r="J40" s="358"/>
      <c r="K40" s="358"/>
      <c r="L40" s="358"/>
      <c r="M40" s="358"/>
    </row>
    <row r="41" spans="2:13" ht="16.5" customHeight="1">
      <c r="B41" s="209"/>
      <c r="C41" s="561" t="s">
        <v>480</v>
      </c>
      <c r="D41" s="561"/>
      <c r="E41" s="199"/>
      <c r="F41" s="218" t="s">
        <v>307</v>
      </c>
      <c r="G41" s="218" t="s">
        <v>307</v>
      </c>
      <c r="H41" s="359">
        <f>SUM(H21:H40)</f>
        <v>685626</v>
      </c>
      <c r="I41" s="359">
        <f>SUM(I25:I29)</f>
        <v>0</v>
      </c>
      <c r="J41" s="359">
        <f>SUM(J25:J31)</f>
        <v>0</v>
      </c>
      <c r="K41" s="359">
        <f>SUM(K25:K29)</f>
        <v>0</v>
      </c>
      <c r="L41" s="359">
        <f>SUM(L25:L29)</f>
        <v>0</v>
      </c>
      <c r="M41" s="359">
        <f>SUM(M25:M29)</f>
        <v>0</v>
      </c>
    </row>
    <row r="42" spans="2:13" ht="22.5">
      <c r="B42" s="213" t="s">
        <v>481</v>
      </c>
      <c r="C42" s="560" t="s">
        <v>482</v>
      </c>
      <c r="D42" s="560"/>
      <c r="E42" s="221"/>
      <c r="F42" s="361" t="e">
        <f>'Anexa 1'!#REF!</f>
        <v>#REF!</v>
      </c>
      <c r="G42" s="361" t="e">
        <f>'Anexa 1'!#REF!</f>
        <v>#REF!</v>
      </c>
      <c r="H42" s="360">
        <f aca="true" t="shared" si="0" ref="H42:M42">H19-H41</f>
        <v>-110000</v>
      </c>
      <c r="I42" s="360">
        <f t="shared" si="0"/>
        <v>-41535</v>
      </c>
      <c r="J42" s="360">
        <f t="shared" si="0"/>
        <v>0</v>
      </c>
      <c r="K42" s="360">
        <f t="shared" si="0"/>
        <v>-3000</v>
      </c>
      <c r="L42" s="360">
        <f t="shared" si="0"/>
        <v>0</v>
      </c>
      <c r="M42" s="360">
        <f t="shared" si="0"/>
        <v>-3000</v>
      </c>
    </row>
    <row r="43" spans="2:13" ht="15">
      <c r="B43" s="241"/>
      <c r="C43" s="242"/>
      <c r="D43" s="242"/>
      <c r="E43" s="161"/>
      <c r="F43" s="161"/>
      <c r="G43" s="161"/>
      <c r="H43" s="161"/>
      <c r="I43" s="243"/>
      <c r="J43" s="243"/>
      <c r="K43" s="243"/>
      <c r="L43" s="243"/>
      <c r="M43" s="243"/>
    </row>
    <row r="44" spans="3:14" ht="18" customHeight="1">
      <c r="C44" s="525" t="s">
        <v>313</v>
      </c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327"/>
    </row>
    <row r="45" spans="3:22" ht="18">
      <c r="C45" s="465" t="s">
        <v>562</v>
      </c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326"/>
      <c r="O45" s="326"/>
      <c r="P45" s="326"/>
      <c r="Q45" s="326"/>
      <c r="R45" s="326"/>
      <c r="S45" s="326"/>
      <c r="T45" s="326"/>
      <c r="U45" s="326"/>
      <c r="V45" s="326"/>
    </row>
    <row r="46" spans="3:14" ht="14.25">
      <c r="C46" s="114"/>
      <c r="D46"/>
      <c r="E46" s="113"/>
      <c r="F46" s="115"/>
      <c r="G46" s="116"/>
      <c r="H46" s="70"/>
      <c r="I46" s="70"/>
      <c r="J46" s="70"/>
      <c r="K46"/>
      <c r="L46" s="70"/>
      <c r="M46"/>
      <c r="N46"/>
    </row>
    <row r="47" spans="3:14" ht="15.75">
      <c r="C47" s="495" t="s">
        <v>314</v>
      </c>
      <c r="D47" s="495"/>
      <c r="E47" s="29"/>
      <c r="F47" s="29"/>
      <c r="G47" s="29"/>
      <c r="H47" s="495" t="s">
        <v>543</v>
      </c>
      <c r="I47" s="495"/>
      <c r="J47" s="495"/>
      <c r="K47" s="495"/>
      <c r="L47" s="495"/>
      <c r="M47" s="69"/>
      <c r="N47" s="70"/>
    </row>
    <row r="48" spans="3:14" ht="15.75">
      <c r="C48" s="496" t="s">
        <v>492</v>
      </c>
      <c r="D48" s="496"/>
      <c r="E48" s="309"/>
      <c r="F48" s="309"/>
      <c r="G48" s="309"/>
      <c r="H48" s="496" t="s">
        <v>544</v>
      </c>
      <c r="I48" s="496"/>
      <c r="J48" s="496"/>
      <c r="K48" s="496"/>
      <c r="L48" s="496"/>
      <c r="M48" s="69"/>
      <c r="N48" s="70"/>
    </row>
    <row r="49" spans="3:14" ht="15.75">
      <c r="C49" s="234"/>
      <c r="D49" s="234"/>
      <c r="E49" s="234"/>
      <c r="F49" s="115"/>
      <c r="G49" s="116"/>
      <c r="H49" s="300"/>
      <c r="I49" s="300"/>
      <c r="J49" s="300"/>
      <c r="K49" s="300"/>
      <c r="L49" s="300"/>
      <c r="M49" s="300"/>
      <c r="N49" s="300"/>
    </row>
    <row r="50" spans="3:14" ht="15.75">
      <c r="C50" s="234"/>
      <c r="D50" s="234"/>
      <c r="E50" s="234"/>
      <c r="F50" s="115"/>
      <c r="G50" s="116"/>
      <c r="H50" s="300"/>
      <c r="I50" s="300"/>
      <c r="J50" s="300"/>
      <c r="K50" s="300"/>
      <c r="L50" s="300"/>
      <c r="M50" s="300"/>
      <c r="N50" s="300"/>
    </row>
    <row r="51" spans="3:14" ht="22.5" customHeight="1">
      <c r="C51" s="234"/>
      <c r="D51" s="234"/>
      <c r="E51" s="495" t="s">
        <v>563</v>
      </c>
      <c r="F51" s="495"/>
      <c r="G51" s="495"/>
      <c r="H51" s="245"/>
      <c r="I51" s="563" t="s">
        <v>631</v>
      </c>
      <c r="J51" s="563"/>
      <c r="K51" s="563"/>
      <c r="L51" s="125"/>
      <c r="M51" s="125"/>
      <c r="N51" s="300"/>
    </row>
    <row r="52" spans="3:14" ht="15.75">
      <c r="C52" s="234"/>
      <c r="D52" s="234"/>
      <c r="E52" s="496" t="s">
        <v>634</v>
      </c>
      <c r="F52" s="496"/>
      <c r="G52" s="496"/>
      <c r="H52" s="125"/>
      <c r="I52" s="495" t="s">
        <v>552</v>
      </c>
      <c r="J52" s="495"/>
      <c r="K52" s="495"/>
      <c r="L52" s="125"/>
      <c r="M52" s="125"/>
      <c r="N52" s="300"/>
    </row>
    <row r="53" spans="3:14" ht="15">
      <c r="C53" s="234"/>
      <c r="D53" s="234"/>
      <c r="E53" s="234"/>
      <c r="F53" s="115"/>
      <c r="G53" s="116"/>
      <c r="H53" s="70"/>
      <c r="I53" s="70"/>
      <c r="J53" s="70"/>
      <c r="K53"/>
      <c r="L53" s="70"/>
      <c r="M53"/>
      <c r="N53"/>
    </row>
    <row r="54" spans="3:14" ht="14.25">
      <c r="C54" s="307"/>
      <c r="D54" s="125"/>
      <c r="E54" s="125"/>
      <c r="F54" s="115"/>
      <c r="G54" s="116"/>
      <c r="H54" s="70"/>
      <c r="I54" s="70"/>
      <c r="J54" s="70"/>
      <c r="K54"/>
      <c r="L54" s="70"/>
      <c r="M54"/>
      <c r="N54"/>
    </row>
    <row r="55" spans="3:15" ht="12.75">
      <c r="C55" s="497" t="s">
        <v>316</v>
      </c>
      <c r="D55" s="497"/>
      <c r="E55" s="303"/>
      <c r="F55" s="529" t="s">
        <v>545</v>
      </c>
      <c r="G55" s="529"/>
      <c r="H55" s="529"/>
      <c r="I55" s="305"/>
      <c r="J55" s="529" t="s">
        <v>546</v>
      </c>
      <c r="K55" s="529"/>
      <c r="L55" s="304"/>
      <c r="M55" s="529" t="s">
        <v>565</v>
      </c>
      <c r="N55" s="529"/>
      <c r="O55" s="529"/>
    </row>
    <row r="56" spans="3:15" ht="12.75">
      <c r="C56" s="528" t="s">
        <v>315</v>
      </c>
      <c r="D56" s="528"/>
      <c r="E56" s="302"/>
      <c r="F56" s="529" t="s">
        <v>547</v>
      </c>
      <c r="G56" s="529"/>
      <c r="H56" s="529"/>
      <c r="I56" s="305"/>
      <c r="J56" s="529" t="s">
        <v>548</v>
      </c>
      <c r="K56" s="529"/>
      <c r="L56" s="304"/>
      <c r="M56" s="529" t="s">
        <v>566</v>
      </c>
      <c r="N56" s="529"/>
      <c r="O56" s="529"/>
    </row>
    <row r="57" spans="3:14" ht="15">
      <c r="C57" s="234"/>
      <c r="D57" s="234"/>
      <c r="E57" s="125"/>
      <c r="F57" s="115"/>
      <c r="G57" s="116"/>
      <c r="H57" s="70"/>
      <c r="I57" s="70"/>
      <c r="J57" s="70"/>
      <c r="K57"/>
      <c r="L57" s="70"/>
      <c r="M57"/>
      <c r="N57"/>
    </row>
    <row r="58" spans="3:14" ht="15">
      <c r="C58" s="234"/>
      <c r="D58" s="234"/>
      <c r="E58" s="125"/>
      <c r="F58" s="115"/>
      <c r="G58" s="116"/>
      <c r="H58" s="70"/>
      <c r="I58" s="70"/>
      <c r="J58" s="70"/>
      <c r="K58"/>
      <c r="L58" s="70"/>
      <c r="M58"/>
      <c r="N58"/>
    </row>
    <row r="59" spans="3:14" ht="15" customHeight="1">
      <c r="C59" s="234"/>
      <c r="D59" s="234"/>
      <c r="E59" s="125"/>
      <c r="F59" s="497" t="s">
        <v>564</v>
      </c>
      <c r="G59" s="497"/>
      <c r="H59" s="303"/>
      <c r="I59" s="497" t="s">
        <v>549</v>
      </c>
      <c r="J59" s="497"/>
      <c r="K59"/>
      <c r="L59" s="70"/>
      <c r="M59"/>
      <c r="N59"/>
    </row>
    <row r="60" spans="3:14" ht="15">
      <c r="C60" s="318" t="s">
        <v>485</v>
      </c>
      <c r="D60" s="234"/>
      <c r="E60" s="125"/>
      <c r="F60" s="499" t="s">
        <v>576</v>
      </c>
      <c r="G60" s="499"/>
      <c r="H60" s="311"/>
      <c r="I60" s="497" t="s">
        <v>550</v>
      </c>
      <c r="J60" s="497"/>
      <c r="K60"/>
      <c r="L60" s="70"/>
      <c r="M60"/>
      <c r="N60"/>
    </row>
    <row r="61" spans="3:14" ht="15.75" customHeight="1">
      <c r="C61" s="498" t="s">
        <v>507</v>
      </c>
      <c r="D61" s="498"/>
      <c r="E61" s="125"/>
      <c r="F61" s="115"/>
      <c r="G61" s="116"/>
      <c r="H61" s="70"/>
      <c r="I61" s="70"/>
      <c r="J61" s="70"/>
      <c r="K61"/>
      <c r="L61" s="70"/>
      <c r="M61"/>
      <c r="N61"/>
    </row>
    <row r="62" spans="4:14" ht="14.25">
      <c r="D62" s="318"/>
      <c r="E62" s="318"/>
      <c r="F62" s="318"/>
      <c r="G62" s="116"/>
      <c r="H62" s="70"/>
      <c r="I62" s="70"/>
      <c r="J62" s="70"/>
      <c r="K62" s="70"/>
      <c r="L62" s="69"/>
      <c r="M62" s="69"/>
      <c r="N62" s="70"/>
    </row>
    <row r="63" spans="3:14" ht="14.25">
      <c r="C63" s="233"/>
      <c r="D63" s="498" t="s">
        <v>508</v>
      </c>
      <c r="E63" s="498"/>
      <c r="F63" s="498"/>
      <c r="G63" s="498"/>
      <c r="H63" s="70"/>
      <c r="I63" s="70"/>
      <c r="J63" s="70"/>
      <c r="K63" s="70"/>
      <c r="L63" s="69"/>
      <c r="M63" s="69"/>
      <c r="N63" s="70"/>
    </row>
    <row r="64" spans="3:14" ht="14.25">
      <c r="C64" s="233"/>
      <c r="D64" s="233"/>
      <c r="E64" s="125"/>
      <c r="F64" s="115"/>
      <c r="G64" s="116"/>
      <c r="H64" s="70"/>
      <c r="I64" s="70"/>
      <c r="J64" s="70"/>
      <c r="K64" s="70"/>
      <c r="L64" s="69"/>
      <c r="M64" s="69"/>
      <c r="N64" s="70"/>
    </row>
    <row r="65" spans="3:14" ht="14.25">
      <c r="C65" s="127"/>
      <c r="H65" s="70"/>
      <c r="I65" s="70"/>
      <c r="J65" s="70"/>
      <c r="K65" s="70"/>
      <c r="L65" s="69"/>
      <c r="M65" s="69"/>
      <c r="N65" s="70"/>
    </row>
  </sheetData>
  <sheetProtection/>
  <mergeCells count="69">
    <mergeCell ref="C26:D26"/>
    <mergeCell ref="C28:D28"/>
    <mergeCell ref="C29:D29"/>
    <mergeCell ref="C30:D30"/>
    <mergeCell ref="B2:F2"/>
    <mergeCell ref="C5:M5"/>
    <mergeCell ref="B8:B10"/>
    <mergeCell ref="C8:D10"/>
    <mergeCell ref="E8:E10"/>
    <mergeCell ref="F8:G8"/>
    <mergeCell ref="H8:I8"/>
    <mergeCell ref="J8:K8"/>
    <mergeCell ref="L8:M8"/>
    <mergeCell ref="F9:G9"/>
    <mergeCell ref="H9:I9"/>
    <mergeCell ref="J9:K9"/>
    <mergeCell ref="L9:M9"/>
    <mergeCell ref="C15:D15"/>
    <mergeCell ref="C11:D11"/>
    <mergeCell ref="C12:D12"/>
    <mergeCell ref="C13:D13"/>
    <mergeCell ref="C14:D14"/>
    <mergeCell ref="D63:G63"/>
    <mergeCell ref="F59:G59"/>
    <mergeCell ref="C55:D55"/>
    <mergeCell ref="C61:D61"/>
    <mergeCell ref="F55:H55"/>
    <mergeCell ref="C56:D56"/>
    <mergeCell ref="F60:G60"/>
    <mergeCell ref="I60:J60"/>
    <mergeCell ref="I51:K51"/>
    <mergeCell ref="I52:K52"/>
    <mergeCell ref="J55:K55"/>
    <mergeCell ref="J56:K56"/>
    <mergeCell ref="I59:J59"/>
    <mergeCell ref="C16:D16"/>
    <mergeCell ref="C38:D38"/>
    <mergeCell ref="C33:D33"/>
    <mergeCell ref="C18:D18"/>
    <mergeCell ref="C17:D17"/>
    <mergeCell ref="C25:D25"/>
    <mergeCell ref="C32:D32"/>
    <mergeCell ref="C31:D31"/>
    <mergeCell ref="C27:D27"/>
    <mergeCell ref="C35:D35"/>
    <mergeCell ref="C36:D36"/>
    <mergeCell ref="F56:H56"/>
    <mergeCell ref="H47:L47"/>
    <mergeCell ref="C48:D48"/>
    <mergeCell ref="H48:L48"/>
    <mergeCell ref="C41:D41"/>
    <mergeCell ref="C47:D47"/>
    <mergeCell ref="E51:G51"/>
    <mergeCell ref="E52:G52"/>
    <mergeCell ref="C19:D19"/>
    <mergeCell ref="C20:D20"/>
    <mergeCell ref="C21:D21"/>
    <mergeCell ref="C23:D23"/>
    <mergeCell ref="C22:D22"/>
    <mergeCell ref="C24:D24"/>
    <mergeCell ref="M55:O55"/>
    <mergeCell ref="M56:O56"/>
    <mergeCell ref="C37:D37"/>
    <mergeCell ref="C39:D39"/>
    <mergeCell ref="C40:D40"/>
    <mergeCell ref="C45:M45"/>
    <mergeCell ref="C44:M44"/>
    <mergeCell ref="C42:D42"/>
    <mergeCell ref="C34:D34"/>
  </mergeCells>
  <printOptions/>
  <pageMargins left="0.1968503937007874" right="0.2362204724409449" top="0.07874015748031496" bottom="0.07874015748031496" header="0.15748031496062992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florina.ivanescu</dc:creator>
  <cp:keywords/>
  <dc:description/>
  <cp:lastModifiedBy>theon</cp:lastModifiedBy>
  <cp:lastPrinted>2016-01-12T09:14:07Z</cp:lastPrinted>
  <dcterms:created xsi:type="dcterms:W3CDTF">2013-08-02T09:21:46Z</dcterms:created>
  <dcterms:modified xsi:type="dcterms:W3CDTF">2016-01-12T10:05:49Z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